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12315" windowHeight="8460" tabRatio="739" activeTab="9"/>
  </bookViews>
  <sheets>
    <sheet name="Понедельник -1 " sheetId="1" r:id="rId1"/>
    <sheet name="Вторник -2 " sheetId="5" r:id="rId2"/>
    <sheet name="Среда-3" sheetId="4" r:id="rId3"/>
    <sheet name="Четверг -4" sheetId="3" r:id="rId4"/>
    <sheet name="Пятница-5" sheetId="8" r:id="rId5"/>
    <sheet name="Понедельник-6" sheetId="9" r:id="rId6"/>
    <sheet name="Вторник-7" sheetId="10" r:id="rId7"/>
    <sheet name="Среда-8" sheetId="11" r:id="rId8"/>
    <sheet name="Четверг -9" sheetId="12" r:id="rId9"/>
    <sheet name="Пятница -10" sheetId="7" r:id="rId10"/>
  </sheets>
  <definedNames>
    <definedName name="_xlnm._FilterDatabase" localSheetId="1" hidden="1">'Вторник -2 '!$B$1:$B$39</definedName>
    <definedName name="_xlnm._FilterDatabase" localSheetId="6" hidden="1">'Вторник-7'!$B$1:$B$46</definedName>
    <definedName name="_xlnm._FilterDatabase" localSheetId="0" hidden="1">'Понедельник -1 '!$B$1:$B$39</definedName>
    <definedName name="_xlnm._FilterDatabase" localSheetId="5" hidden="1">'Понедельник-6'!$B$1:$B$47</definedName>
    <definedName name="_xlnm._FilterDatabase" localSheetId="9" hidden="1">'Пятница -10'!$B$1:$B$46</definedName>
    <definedName name="_xlnm._FilterDatabase" localSheetId="4" hidden="1">'Пятница-5'!$B$1:$B$48</definedName>
    <definedName name="_xlnm._FilterDatabase" localSheetId="2" hidden="1">'Среда-3'!$B$1:$B$42</definedName>
    <definedName name="_xlnm._FilterDatabase" localSheetId="7" hidden="1">'Среда-8'!$B$1:$B$43</definedName>
    <definedName name="_xlnm._FilterDatabase" localSheetId="3" hidden="1">'Четверг -4'!$B$1:$B$45</definedName>
    <definedName name="_xlnm._FilterDatabase" localSheetId="8" hidden="1">'Четверг -9'!$B$1:$B$47</definedName>
    <definedName name="_xlnm.Print_Area" localSheetId="1">'Вторник -2 '!$A$1:$T$38</definedName>
    <definedName name="_xlnm.Print_Area" localSheetId="6">'Вторник-7'!$A$1:$T$45</definedName>
    <definedName name="_xlnm.Print_Area" localSheetId="0">'Понедельник -1 '!$A$1:$T$38</definedName>
    <definedName name="_xlnm.Print_Area" localSheetId="5">'Понедельник-6'!$A$1:$T$46</definedName>
    <definedName name="_xlnm.Print_Area" localSheetId="9">'Пятница -10'!$A$1:$T$45</definedName>
    <definedName name="_xlnm.Print_Area" localSheetId="4">'Пятница-5'!$A$1:$T$47</definedName>
    <definedName name="_xlnm.Print_Area" localSheetId="2">'Среда-3'!$A$1:$T$41</definedName>
    <definedName name="_xlnm.Print_Area" localSheetId="7">'Среда-8'!$A$1:$T$42</definedName>
    <definedName name="_xlnm.Print_Area" localSheetId="3">'Четверг -4'!$A$1:$T$44</definedName>
    <definedName name="_xlnm.Print_Area" localSheetId="8">'Четверг -9'!$A$1:$T$46</definedName>
  </definedNames>
  <calcPr calcId="145621"/>
</workbook>
</file>

<file path=xl/calcChain.xml><?xml version="1.0" encoding="utf-8"?>
<calcChain xmlns="http://schemas.openxmlformats.org/spreadsheetml/2006/main">
  <c r="T37" i="12" l="1"/>
  <c r="T38" i="12" s="1"/>
  <c r="S37" i="12"/>
  <c r="S38" i="12" s="1"/>
  <c r="R37" i="12"/>
  <c r="R38" i="12" s="1"/>
  <c r="Q37" i="12"/>
  <c r="Q38" i="12" s="1"/>
  <c r="P37" i="12"/>
  <c r="P38" i="12" s="1"/>
  <c r="O37" i="12"/>
  <c r="O38" i="12" s="1"/>
  <c r="N37" i="12"/>
  <c r="N38" i="12" s="1"/>
  <c r="M37" i="12"/>
  <c r="M38" i="12" s="1"/>
  <c r="L37" i="12"/>
  <c r="L38" i="12" s="1"/>
  <c r="K37" i="12"/>
  <c r="K38" i="12" s="1"/>
  <c r="J37" i="12"/>
  <c r="J38" i="12" s="1"/>
  <c r="I37" i="12"/>
  <c r="I38" i="12" s="1"/>
  <c r="H37" i="12"/>
  <c r="H38" i="12" s="1"/>
  <c r="G37" i="12"/>
  <c r="G38" i="12" s="1"/>
  <c r="F37" i="12"/>
  <c r="F38" i="12" s="1"/>
  <c r="E37" i="12"/>
  <c r="D37" i="12"/>
  <c r="E31" i="12"/>
  <c r="E33" i="12" s="1"/>
  <c r="D31" i="12"/>
  <c r="T30" i="12"/>
  <c r="R30" i="12"/>
  <c r="Q30" i="12"/>
  <c r="P30" i="12"/>
  <c r="O30" i="12"/>
  <c r="N30" i="12"/>
  <c r="L30" i="12"/>
  <c r="K30" i="12"/>
  <c r="J30" i="12"/>
  <c r="H30" i="12"/>
  <c r="G30" i="12"/>
  <c r="F30" i="12"/>
  <c r="T29" i="12"/>
  <c r="S29" i="12"/>
  <c r="R29" i="12"/>
  <c r="Q29" i="12"/>
  <c r="P29" i="12"/>
  <c r="O29" i="12"/>
  <c r="N29" i="12"/>
  <c r="K29" i="12"/>
  <c r="J29" i="12"/>
  <c r="H29" i="12"/>
  <c r="G29" i="12"/>
  <c r="F29" i="12"/>
  <c r="I28" i="12"/>
  <c r="R26" i="12"/>
  <c r="M26" i="12"/>
  <c r="T25" i="12"/>
  <c r="S25" i="12"/>
  <c r="R25" i="12"/>
  <c r="Q25" i="12"/>
  <c r="P25" i="12"/>
  <c r="O25" i="12"/>
  <c r="N25" i="12"/>
  <c r="M25" i="12"/>
  <c r="M31" i="12" s="1"/>
  <c r="M32" i="12" s="1"/>
  <c r="L25" i="12"/>
  <c r="K25" i="12"/>
  <c r="J25" i="12"/>
  <c r="J31" i="12" s="1"/>
  <c r="J32" i="12" s="1"/>
  <c r="H25" i="12"/>
  <c r="G25" i="12"/>
  <c r="F25" i="12"/>
  <c r="E20" i="12"/>
  <c r="E22" i="12" s="1"/>
  <c r="D20" i="12"/>
  <c r="T19" i="12"/>
  <c r="R19" i="12"/>
  <c r="Q19" i="12"/>
  <c r="P19" i="12"/>
  <c r="O19" i="12"/>
  <c r="N19" i="12"/>
  <c r="L19" i="12"/>
  <c r="K19" i="12"/>
  <c r="J19" i="12"/>
  <c r="H19" i="12"/>
  <c r="G19" i="12"/>
  <c r="F19" i="12"/>
  <c r="I18" i="12"/>
  <c r="T17" i="12"/>
  <c r="S17" i="12"/>
  <c r="P17" i="12"/>
  <c r="O17" i="12"/>
  <c r="N17" i="12"/>
  <c r="M17" i="12"/>
  <c r="L17" i="12"/>
  <c r="K17" i="12"/>
  <c r="J17" i="12"/>
  <c r="H17" i="12"/>
  <c r="G17" i="12"/>
  <c r="F17" i="12"/>
  <c r="T16" i="12"/>
  <c r="S16" i="12"/>
  <c r="S20" i="12" s="1"/>
  <c r="R16" i="12"/>
  <c r="Q16" i="12"/>
  <c r="Q20" i="12" s="1"/>
  <c r="P16" i="12"/>
  <c r="O16" i="12"/>
  <c r="N16" i="12"/>
  <c r="M16" i="12"/>
  <c r="L16" i="12"/>
  <c r="K16" i="12"/>
  <c r="J16" i="12"/>
  <c r="H16" i="12"/>
  <c r="G16" i="12"/>
  <c r="F16" i="12"/>
  <c r="I15" i="12"/>
  <c r="T33" i="11"/>
  <c r="T34" i="11" s="1"/>
  <c r="S33" i="11"/>
  <c r="S34" i="11" s="1"/>
  <c r="R33" i="11"/>
  <c r="R34" i="11" s="1"/>
  <c r="Q33" i="11"/>
  <c r="Q34" i="11" s="1"/>
  <c r="P33" i="11"/>
  <c r="P34" i="11" s="1"/>
  <c r="O33" i="11"/>
  <c r="O34" i="11" s="1"/>
  <c r="N33" i="11"/>
  <c r="N34" i="11" s="1"/>
  <c r="M33" i="11"/>
  <c r="M34" i="11" s="1"/>
  <c r="L33" i="11"/>
  <c r="L34" i="11" s="1"/>
  <c r="K33" i="11"/>
  <c r="K34" i="11" s="1"/>
  <c r="J33" i="11"/>
  <c r="J34" i="11" s="1"/>
  <c r="I33" i="11"/>
  <c r="I34" i="11" s="1"/>
  <c r="H33" i="11"/>
  <c r="H34" i="11" s="1"/>
  <c r="G33" i="11"/>
  <c r="G34" i="11" s="1"/>
  <c r="F33" i="11"/>
  <c r="F34" i="11" s="1"/>
  <c r="E33" i="11"/>
  <c r="D33" i="11"/>
  <c r="E29" i="11"/>
  <c r="E27" i="11"/>
  <c r="D27" i="11"/>
  <c r="T26" i="11"/>
  <c r="R26" i="11"/>
  <c r="Q26" i="11"/>
  <c r="P26" i="11"/>
  <c r="O26" i="11"/>
  <c r="N26" i="11"/>
  <c r="L26" i="11"/>
  <c r="K26" i="11"/>
  <c r="J26" i="11"/>
  <c r="H26" i="11"/>
  <c r="G26" i="11"/>
  <c r="F26" i="11"/>
  <c r="I26" i="11" s="1"/>
  <c r="T25" i="11"/>
  <c r="S25" i="11"/>
  <c r="R25" i="11"/>
  <c r="Q25" i="11"/>
  <c r="P25" i="11"/>
  <c r="O25" i="11"/>
  <c r="N25" i="11"/>
  <c r="K25" i="11"/>
  <c r="J25" i="11"/>
  <c r="H25" i="11"/>
  <c r="G25" i="11"/>
  <c r="F25" i="11"/>
  <c r="I25" i="11" s="1"/>
  <c r="T23" i="11"/>
  <c r="S23" i="11"/>
  <c r="R23" i="11"/>
  <c r="Q23" i="11"/>
  <c r="P23" i="11"/>
  <c r="O23" i="11"/>
  <c r="N23" i="11"/>
  <c r="M23" i="11"/>
  <c r="K23" i="11"/>
  <c r="J23" i="11"/>
  <c r="H23" i="11"/>
  <c r="H27" i="11" s="1"/>
  <c r="H28" i="11" s="1"/>
  <c r="G23" i="11"/>
  <c r="G27" i="11" s="1"/>
  <c r="G28" i="11" s="1"/>
  <c r="F23" i="11"/>
  <c r="I21" i="11"/>
  <c r="T20" i="11"/>
  <c r="S20" i="11"/>
  <c r="R20" i="11"/>
  <c r="Q20" i="11"/>
  <c r="P20" i="11"/>
  <c r="O20" i="11"/>
  <c r="N20" i="11"/>
  <c r="M20" i="11"/>
  <c r="L20" i="11"/>
  <c r="L27" i="11" s="1"/>
  <c r="L28" i="11" s="1"/>
  <c r="K20" i="11"/>
  <c r="K27" i="11" s="1"/>
  <c r="K28" i="11" s="1"/>
  <c r="J20" i="11"/>
  <c r="G20" i="11"/>
  <c r="F20" i="11"/>
  <c r="E17" i="11"/>
  <c r="D17" i="11"/>
  <c r="T16" i="11"/>
  <c r="R16" i="11"/>
  <c r="Q16" i="11"/>
  <c r="P16" i="11"/>
  <c r="O16" i="11"/>
  <c r="N16" i="11"/>
  <c r="L16" i="11"/>
  <c r="K16" i="11"/>
  <c r="J16" i="11"/>
  <c r="H16" i="11"/>
  <c r="G16" i="11"/>
  <c r="F16" i="11"/>
  <c r="I15" i="11"/>
  <c r="T13" i="11"/>
  <c r="S13" i="11"/>
  <c r="S17" i="11" s="1"/>
  <c r="R13" i="11"/>
  <c r="Q13" i="11"/>
  <c r="Q17" i="11" s="1"/>
  <c r="Q18" i="11" s="1"/>
  <c r="P13" i="11"/>
  <c r="P17" i="11" s="1"/>
  <c r="O13" i="11"/>
  <c r="N13" i="11"/>
  <c r="M13" i="11"/>
  <c r="M17" i="11" s="1"/>
  <c r="L13" i="11"/>
  <c r="L17" i="11" s="1"/>
  <c r="K13" i="11"/>
  <c r="J13" i="11"/>
  <c r="H13" i="11"/>
  <c r="G13" i="11"/>
  <c r="F13" i="11"/>
  <c r="F37" i="10"/>
  <c r="T36" i="10"/>
  <c r="T37" i="10" s="1"/>
  <c r="S36" i="10"/>
  <c r="S37" i="10" s="1"/>
  <c r="R36" i="10"/>
  <c r="R37" i="10" s="1"/>
  <c r="Q36" i="10"/>
  <c r="Q37" i="10" s="1"/>
  <c r="P36" i="10"/>
  <c r="P37" i="10" s="1"/>
  <c r="O36" i="10"/>
  <c r="O37" i="10" s="1"/>
  <c r="N36" i="10"/>
  <c r="N37" i="10" s="1"/>
  <c r="M36" i="10"/>
  <c r="M37" i="10" s="1"/>
  <c r="L36" i="10"/>
  <c r="L37" i="10" s="1"/>
  <c r="K36" i="10"/>
  <c r="K37" i="10" s="1"/>
  <c r="J36" i="10"/>
  <c r="J37" i="10" s="1"/>
  <c r="I36" i="10"/>
  <c r="I37" i="10" s="1"/>
  <c r="H36" i="10"/>
  <c r="H37" i="10" s="1"/>
  <c r="G36" i="10"/>
  <c r="G37" i="10" s="1"/>
  <c r="F36" i="10"/>
  <c r="E36" i="10"/>
  <c r="D36" i="10"/>
  <c r="E30" i="10"/>
  <c r="E32" i="10" s="1"/>
  <c r="D30" i="10"/>
  <c r="T29" i="10"/>
  <c r="R29" i="10"/>
  <c r="Q29" i="10"/>
  <c r="P29" i="10"/>
  <c r="O29" i="10"/>
  <c r="N29" i="10"/>
  <c r="L29" i="10"/>
  <c r="K29" i="10"/>
  <c r="J29" i="10"/>
  <c r="H29" i="10"/>
  <c r="G29" i="10"/>
  <c r="F29" i="10"/>
  <c r="T27" i="10"/>
  <c r="S27" i="10"/>
  <c r="R27" i="10"/>
  <c r="Q27" i="10"/>
  <c r="P27" i="10"/>
  <c r="O27" i="10"/>
  <c r="N27" i="10"/>
  <c r="K27" i="10"/>
  <c r="J27" i="10"/>
  <c r="H27" i="10"/>
  <c r="G27" i="10"/>
  <c r="F27" i="10"/>
  <c r="T25" i="10"/>
  <c r="S25" i="10"/>
  <c r="R25" i="10"/>
  <c r="Q25" i="10"/>
  <c r="P25" i="10"/>
  <c r="O25" i="10"/>
  <c r="N25" i="10"/>
  <c r="M25" i="10"/>
  <c r="L25" i="10"/>
  <c r="K25" i="10"/>
  <c r="J25" i="10"/>
  <c r="H25" i="10"/>
  <c r="G25" i="10"/>
  <c r="F25" i="10"/>
  <c r="R24" i="10"/>
  <c r="R30" i="10" s="1"/>
  <c r="R31" i="10" s="1"/>
  <c r="T22" i="10"/>
  <c r="S22" i="10"/>
  <c r="R22" i="10"/>
  <c r="Q22" i="10"/>
  <c r="P22" i="10"/>
  <c r="O22" i="10"/>
  <c r="N22" i="10"/>
  <c r="M22" i="10"/>
  <c r="M30" i="10" s="1"/>
  <c r="M31" i="10" s="1"/>
  <c r="L22" i="10"/>
  <c r="K22" i="10"/>
  <c r="J22" i="10"/>
  <c r="H22" i="10"/>
  <c r="G22" i="10"/>
  <c r="F22" i="10"/>
  <c r="E18" i="10"/>
  <c r="E20" i="10" s="1"/>
  <c r="D18" i="10"/>
  <c r="T17" i="10"/>
  <c r="R17" i="10"/>
  <c r="Q17" i="10"/>
  <c r="P17" i="10"/>
  <c r="O17" i="10"/>
  <c r="O18" i="10" s="1"/>
  <c r="O19" i="10" s="1"/>
  <c r="N17" i="10"/>
  <c r="L17" i="10"/>
  <c r="K17" i="10"/>
  <c r="J17" i="10"/>
  <c r="H17" i="10"/>
  <c r="G17" i="10"/>
  <c r="F17" i="10"/>
  <c r="T16" i="10"/>
  <c r="S16" i="10"/>
  <c r="S18" i="10" s="1"/>
  <c r="R16" i="10"/>
  <c r="Q16" i="10"/>
  <c r="P16" i="10"/>
  <c r="O16" i="10"/>
  <c r="N16" i="10"/>
  <c r="M16" i="10"/>
  <c r="M18" i="10" s="1"/>
  <c r="M19" i="10" s="1"/>
  <c r="L16" i="10"/>
  <c r="L18" i="10" s="1"/>
  <c r="K16" i="10"/>
  <c r="K18" i="10" s="1"/>
  <c r="J16" i="10"/>
  <c r="H16" i="10"/>
  <c r="G16" i="10"/>
  <c r="G18" i="10" s="1"/>
  <c r="G19" i="10" s="1"/>
  <c r="F16" i="10"/>
  <c r="F18" i="10" s="1"/>
  <c r="T37" i="9"/>
  <c r="T38" i="9" s="1"/>
  <c r="S37" i="9"/>
  <c r="S38" i="9" s="1"/>
  <c r="R37" i="9"/>
  <c r="R38" i="9" s="1"/>
  <c r="Q37" i="9"/>
  <c r="Q38" i="9" s="1"/>
  <c r="P37" i="9"/>
  <c r="P38" i="9" s="1"/>
  <c r="O37" i="9"/>
  <c r="O38" i="9" s="1"/>
  <c r="N37" i="9"/>
  <c r="N38" i="9" s="1"/>
  <c r="M37" i="9"/>
  <c r="M38" i="9" s="1"/>
  <c r="L37" i="9"/>
  <c r="L38" i="9" s="1"/>
  <c r="K37" i="9"/>
  <c r="K38" i="9" s="1"/>
  <c r="J37" i="9"/>
  <c r="J38" i="9" s="1"/>
  <c r="I37" i="9"/>
  <c r="I38" i="9" s="1"/>
  <c r="H37" i="9"/>
  <c r="H38" i="9" s="1"/>
  <c r="G37" i="9"/>
  <c r="G38" i="9" s="1"/>
  <c r="F37" i="9"/>
  <c r="F38" i="9" s="1"/>
  <c r="E37" i="9"/>
  <c r="E31" i="9"/>
  <c r="E33" i="9" s="1"/>
  <c r="D31" i="9"/>
  <c r="T30" i="9"/>
  <c r="R30" i="9"/>
  <c r="Q30" i="9"/>
  <c r="P30" i="9"/>
  <c r="O30" i="9"/>
  <c r="N30" i="9"/>
  <c r="L30" i="9"/>
  <c r="K30" i="9"/>
  <c r="J30" i="9"/>
  <c r="H30" i="9"/>
  <c r="G30" i="9"/>
  <c r="F30" i="9"/>
  <c r="T28" i="9"/>
  <c r="S28" i="9"/>
  <c r="R28" i="9"/>
  <c r="Q28" i="9"/>
  <c r="P28" i="9"/>
  <c r="O28" i="9"/>
  <c r="N28" i="9"/>
  <c r="K28" i="9"/>
  <c r="J28" i="9"/>
  <c r="H28" i="9"/>
  <c r="G28" i="9"/>
  <c r="F28" i="9"/>
  <c r="T26" i="9"/>
  <c r="S26" i="9"/>
  <c r="P26" i="9"/>
  <c r="O26" i="9"/>
  <c r="L26" i="9"/>
  <c r="K26" i="9"/>
  <c r="J26" i="9"/>
  <c r="H26" i="9"/>
  <c r="G26" i="9"/>
  <c r="F26" i="9"/>
  <c r="T25" i="9"/>
  <c r="S25" i="9"/>
  <c r="R25" i="9"/>
  <c r="Q25" i="9"/>
  <c r="P25" i="9"/>
  <c r="O25" i="9"/>
  <c r="N25" i="9"/>
  <c r="L25" i="9"/>
  <c r="K25" i="9"/>
  <c r="J25" i="9"/>
  <c r="H25" i="9"/>
  <c r="G25" i="9"/>
  <c r="F25" i="9"/>
  <c r="T24" i="9"/>
  <c r="S24" i="9"/>
  <c r="R24" i="9"/>
  <c r="Q24" i="9"/>
  <c r="P24" i="9"/>
  <c r="O24" i="9"/>
  <c r="N24" i="9"/>
  <c r="M24" i="9"/>
  <c r="M31" i="9" s="1"/>
  <c r="M32" i="9" s="1"/>
  <c r="L24" i="9"/>
  <c r="K24" i="9"/>
  <c r="J24" i="9"/>
  <c r="H24" i="9"/>
  <c r="H31" i="9" s="1"/>
  <c r="H32" i="9" s="1"/>
  <c r="G24" i="9"/>
  <c r="F24" i="9"/>
  <c r="A23" i="9"/>
  <c r="E21" i="9"/>
  <c r="S19" i="9"/>
  <c r="S20" i="9" s="1"/>
  <c r="M19" i="9"/>
  <c r="M20" i="9" s="1"/>
  <c r="E19" i="9"/>
  <c r="D19" i="9"/>
  <c r="A19" i="9"/>
  <c r="T18" i="9"/>
  <c r="T19" i="9" s="1"/>
  <c r="T20" i="9" s="1"/>
  <c r="R18" i="9"/>
  <c r="R19" i="9" s="1"/>
  <c r="R20" i="9" s="1"/>
  <c r="Q18" i="9"/>
  <c r="Q19" i="9" s="1"/>
  <c r="P18" i="9"/>
  <c r="P19" i="9" s="1"/>
  <c r="P20" i="9" s="1"/>
  <c r="O18" i="9"/>
  <c r="O19" i="9" s="1"/>
  <c r="O20" i="9" s="1"/>
  <c r="N18" i="9"/>
  <c r="N19" i="9" s="1"/>
  <c r="L18" i="9"/>
  <c r="L19" i="9" s="1"/>
  <c r="K18" i="9"/>
  <c r="K19" i="9" s="1"/>
  <c r="K20" i="9" s="1"/>
  <c r="J18" i="9"/>
  <c r="J19" i="9" s="1"/>
  <c r="H18" i="9"/>
  <c r="G18" i="9"/>
  <c r="F18" i="9"/>
  <c r="I17" i="9"/>
  <c r="H14" i="9"/>
  <c r="H19" i="9" s="1"/>
  <c r="G14" i="9"/>
  <c r="F14" i="9"/>
  <c r="T39" i="8"/>
  <c r="F39" i="8"/>
  <c r="T38" i="8"/>
  <c r="S38" i="8"/>
  <c r="S39" i="8" s="1"/>
  <c r="R38" i="8"/>
  <c r="R39" i="8" s="1"/>
  <c r="Q38" i="8"/>
  <c r="Q39" i="8" s="1"/>
  <c r="P38" i="8"/>
  <c r="P39" i="8" s="1"/>
  <c r="O38" i="8"/>
  <c r="O39" i="8" s="1"/>
  <c r="N38" i="8"/>
  <c r="N39" i="8" s="1"/>
  <c r="M38" i="8"/>
  <c r="M39" i="8" s="1"/>
  <c r="L38" i="8"/>
  <c r="L39" i="8" s="1"/>
  <c r="K38" i="8"/>
  <c r="K39" i="8" s="1"/>
  <c r="J38" i="8"/>
  <c r="J39" i="8" s="1"/>
  <c r="I38" i="8"/>
  <c r="I39" i="8" s="1"/>
  <c r="H38" i="8"/>
  <c r="H39" i="8" s="1"/>
  <c r="G38" i="8"/>
  <c r="G39" i="8" s="1"/>
  <c r="F38" i="8"/>
  <c r="E38" i="8"/>
  <c r="D38" i="8"/>
  <c r="E32" i="8"/>
  <c r="E34" i="8" s="1"/>
  <c r="D32" i="8"/>
  <c r="T31" i="8"/>
  <c r="R31" i="8"/>
  <c r="Q31" i="8"/>
  <c r="P31" i="8"/>
  <c r="O31" i="8"/>
  <c r="N31" i="8"/>
  <c r="L31" i="8"/>
  <c r="L32" i="8" s="1"/>
  <c r="L33" i="8" s="1"/>
  <c r="K31" i="8"/>
  <c r="J31" i="8"/>
  <c r="H31" i="8"/>
  <c r="G31" i="8"/>
  <c r="F31" i="8"/>
  <c r="T30" i="8"/>
  <c r="S30" i="8"/>
  <c r="R30" i="8"/>
  <c r="Q30" i="8"/>
  <c r="P30" i="8"/>
  <c r="O30" i="8"/>
  <c r="N30" i="8"/>
  <c r="K30" i="8"/>
  <c r="J30" i="8"/>
  <c r="H30" i="8"/>
  <c r="G30" i="8"/>
  <c r="F30" i="8"/>
  <c r="I30" i="8" s="1"/>
  <c r="T28" i="8"/>
  <c r="T32" i="8" s="1"/>
  <c r="T33" i="8" s="1"/>
  <c r="S28" i="8"/>
  <c r="S32" i="8" s="1"/>
  <c r="S33" i="8" s="1"/>
  <c r="R28" i="8"/>
  <c r="Q28" i="8"/>
  <c r="Q32" i="8" s="1"/>
  <c r="Q33" i="8" s="1"/>
  <c r="P28" i="8"/>
  <c r="O28" i="8"/>
  <c r="N28" i="8"/>
  <c r="M28" i="8"/>
  <c r="M32" i="8" s="1"/>
  <c r="M33" i="8" s="1"/>
  <c r="K28" i="8"/>
  <c r="J28" i="8"/>
  <c r="H28" i="8"/>
  <c r="G28" i="8"/>
  <c r="F28" i="8"/>
  <c r="H25" i="8"/>
  <c r="G25" i="8"/>
  <c r="F25" i="8"/>
  <c r="E21" i="8"/>
  <c r="E23" i="8" s="1"/>
  <c r="D21" i="8"/>
  <c r="T20" i="8"/>
  <c r="R20" i="8"/>
  <c r="Q20" i="8"/>
  <c r="P20" i="8"/>
  <c r="O20" i="8"/>
  <c r="N20" i="8"/>
  <c r="L20" i="8"/>
  <c r="K20" i="8"/>
  <c r="J20" i="8"/>
  <c r="H20" i="8"/>
  <c r="G20" i="8"/>
  <c r="F20" i="8"/>
  <c r="I19" i="8"/>
  <c r="I18" i="8"/>
  <c r="T17" i="8"/>
  <c r="S17" i="8"/>
  <c r="R17" i="8"/>
  <c r="Q17" i="8"/>
  <c r="P17" i="8"/>
  <c r="O17" i="8"/>
  <c r="N17" i="8"/>
  <c r="M17" i="8"/>
  <c r="L17" i="8"/>
  <c r="K17" i="8"/>
  <c r="J17" i="8"/>
  <c r="H17" i="8"/>
  <c r="G17" i="8"/>
  <c r="F17" i="8"/>
  <c r="T16" i="8"/>
  <c r="S16" i="8"/>
  <c r="R16" i="8"/>
  <c r="Q16" i="8"/>
  <c r="P16" i="8"/>
  <c r="O16" i="8"/>
  <c r="N16" i="8"/>
  <c r="M16" i="8"/>
  <c r="L16" i="8"/>
  <c r="L21" i="8" s="1"/>
  <c r="L40" i="8" s="1"/>
  <c r="L42" i="8" s="1"/>
  <c r="K16" i="8"/>
  <c r="J16" i="8"/>
  <c r="H16" i="8"/>
  <c r="G16" i="8"/>
  <c r="F16" i="8"/>
  <c r="T15" i="8"/>
  <c r="S15" i="8"/>
  <c r="R15" i="8"/>
  <c r="R21" i="8" s="1"/>
  <c r="Q15" i="8"/>
  <c r="P15" i="8"/>
  <c r="O15" i="8"/>
  <c r="N15" i="8"/>
  <c r="M15" i="8"/>
  <c r="K15" i="8"/>
  <c r="J15" i="8"/>
  <c r="H15" i="8"/>
  <c r="G15" i="8"/>
  <c r="F15" i="8"/>
  <c r="T36" i="7"/>
  <c r="T37" i="7" s="1"/>
  <c r="S36" i="7"/>
  <c r="S37" i="7" s="1"/>
  <c r="R36" i="7"/>
  <c r="R37" i="7" s="1"/>
  <c r="Q36" i="7"/>
  <c r="Q37" i="7" s="1"/>
  <c r="P36" i="7"/>
  <c r="P37" i="7" s="1"/>
  <c r="O36" i="7"/>
  <c r="O37" i="7" s="1"/>
  <c r="N36" i="7"/>
  <c r="N37" i="7" s="1"/>
  <c r="M36" i="7"/>
  <c r="M37" i="7" s="1"/>
  <c r="L36" i="7"/>
  <c r="L37" i="7" s="1"/>
  <c r="K36" i="7"/>
  <c r="K37" i="7" s="1"/>
  <c r="J36" i="7"/>
  <c r="J37" i="7" s="1"/>
  <c r="I36" i="7"/>
  <c r="I37" i="7" s="1"/>
  <c r="H36" i="7"/>
  <c r="H37" i="7" s="1"/>
  <c r="G36" i="7"/>
  <c r="G37" i="7" s="1"/>
  <c r="F36" i="7"/>
  <c r="F37" i="7" s="1"/>
  <c r="E36" i="7"/>
  <c r="D36" i="7"/>
  <c r="E30" i="7"/>
  <c r="E32" i="7" s="1"/>
  <c r="D30" i="7"/>
  <c r="T29" i="7"/>
  <c r="R29" i="7"/>
  <c r="Q29" i="7"/>
  <c r="P29" i="7"/>
  <c r="O29" i="7"/>
  <c r="N29" i="7"/>
  <c r="L29" i="7"/>
  <c r="K29" i="7"/>
  <c r="J29" i="7"/>
  <c r="H29" i="7"/>
  <c r="G29" i="7"/>
  <c r="F29" i="7"/>
  <c r="T28" i="7"/>
  <c r="S28" i="7"/>
  <c r="R28" i="7"/>
  <c r="Q28" i="7"/>
  <c r="P28" i="7"/>
  <c r="O28" i="7"/>
  <c r="N28" i="7"/>
  <c r="K28" i="7"/>
  <c r="J28" i="7"/>
  <c r="H28" i="7"/>
  <c r="G28" i="7"/>
  <c r="F28" i="7"/>
  <c r="T26" i="7"/>
  <c r="S26" i="7"/>
  <c r="R26" i="7"/>
  <c r="Q26" i="7"/>
  <c r="P26" i="7"/>
  <c r="O26" i="7"/>
  <c r="N26" i="7"/>
  <c r="M26" i="7"/>
  <c r="K26" i="7"/>
  <c r="J26" i="7"/>
  <c r="H26" i="7"/>
  <c r="G26" i="7"/>
  <c r="F26" i="7"/>
  <c r="R25" i="7"/>
  <c r="M25" i="7"/>
  <c r="I24" i="7"/>
  <c r="T23" i="7"/>
  <c r="T30" i="7" s="1"/>
  <c r="T31" i="7" s="1"/>
  <c r="S23" i="7"/>
  <c r="R23" i="7"/>
  <c r="Q23" i="7"/>
  <c r="P23" i="7"/>
  <c r="P30" i="7" s="1"/>
  <c r="P31" i="7" s="1"/>
  <c r="O23" i="7"/>
  <c r="N23" i="7"/>
  <c r="M23" i="7"/>
  <c r="L23" i="7"/>
  <c r="K23" i="7"/>
  <c r="J23" i="7"/>
  <c r="J30" i="7" s="1"/>
  <c r="J31" i="7" s="1"/>
  <c r="H23" i="7"/>
  <c r="G23" i="7"/>
  <c r="F23" i="7"/>
  <c r="E19" i="7"/>
  <c r="E21" i="7" s="1"/>
  <c r="D19" i="7"/>
  <c r="T18" i="7"/>
  <c r="R18" i="7"/>
  <c r="Q18" i="7"/>
  <c r="P18" i="7"/>
  <c r="O18" i="7"/>
  <c r="N18" i="7"/>
  <c r="L18" i="7"/>
  <c r="K18" i="7"/>
  <c r="J18" i="7"/>
  <c r="H18" i="7"/>
  <c r="G18" i="7"/>
  <c r="F18" i="7"/>
  <c r="I17" i="7"/>
  <c r="I16" i="7"/>
  <c r="T15" i="7"/>
  <c r="S15" i="7"/>
  <c r="R15" i="7"/>
  <c r="Q15" i="7"/>
  <c r="P15" i="7"/>
  <c r="O15" i="7"/>
  <c r="N15" i="7"/>
  <c r="M15" i="7"/>
  <c r="L15" i="7"/>
  <c r="K15" i="7"/>
  <c r="J15" i="7"/>
  <c r="H15" i="7"/>
  <c r="G15" i="7"/>
  <c r="F15" i="7"/>
  <c r="T14" i="7"/>
  <c r="S14" i="7"/>
  <c r="R14" i="7"/>
  <c r="Q14" i="7"/>
  <c r="P14" i="7"/>
  <c r="O14" i="7"/>
  <c r="N14" i="7"/>
  <c r="M14" i="7"/>
  <c r="L14" i="7"/>
  <c r="K14" i="7"/>
  <c r="J14" i="7"/>
  <c r="H14" i="7"/>
  <c r="G14" i="7"/>
  <c r="F14" i="7"/>
  <c r="T13" i="7"/>
  <c r="T19" i="7" s="1"/>
  <c r="T20" i="7" s="1"/>
  <c r="S13" i="7"/>
  <c r="R13" i="7"/>
  <c r="Q13" i="7"/>
  <c r="P13" i="7"/>
  <c r="P19" i="7" s="1"/>
  <c r="P20" i="7" s="1"/>
  <c r="O13" i="7"/>
  <c r="N13" i="7"/>
  <c r="M13" i="7"/>
  <c r="K13" i="7"/>
  <c r="J13" i="7"/>
  <c r="H13" i="7"/>
  <c r="G13" i="7"/>
  <c r="F13" i="7"/>
  <c r="F19" i="7" s="1"/>
  <c r="F35" i="5"/>
  <c r="T34" i="5"/>
  <c r="T35" i="5" s="1"/>
  <c r="S34" i="5"/>
  <c r="S35" i="5" s="1"/>
  <c r="R34" i="5"/>
  <c r="R35" i="5" s="1"/>
  <c r="Q34" i="5"/>
  <c r="Q35" i="5" s="1"/>
  <c r="P34" i="5"/>
  <c r="P35" i="5" s="1"/>
  <c r="O34" i="5"/>
  <c r="O35" i="5" s="1"/>
  <c r="N34" i="5"/>
  <c r="N35" i="5" s="1"/>
  <c r="M34" i="5"/>
  <c r="M35" i="5" s="1"/>
  <c r="L34" i="5"/>
  <c r="L35" i="5" s="1"/>
  <c r="K34" i="5"/>
  <c r="K35" i="5" s="1"/>
  <c r="J34" i="5"/>
  <c r="J35" i="5" s="1"/>
  <c r="I34" i="5"/>
  <c r="I35" i="5" s="1"/>
  <c r="H34" i="5"/>
  <c r="H35" i="5" s="1"/>
  <c r="G34" i="5"/>
  <c r="G35" i="5" s="1"/>
  <c r="F34" i="5"/>
  <c r="E34" i="5"/>
  <c r="D34" i="5"/>
  <c r="E28" i="5"/>
  <c r="E30" i="5" s="1"/>
  <c r="D28" i="5"/>
  <c r="T27" i="5"/>
  <c r="R27" i="5"/>
  <c r="Q27" i="5"/>
  <c r="P27" i="5"/>
  <c r="O27" i="5"/>
  <c r="N27" i="5"/>
  <c r="L27" i="5"/>
  <c r="K27" i="5"/>
  <c r="J27" i="5"/>
  <c r="H27" i="5"/>
  <c r="I27" i="5" s="1"/>
  <c r="G27" i="5"/>
  <c r="F27" i="5"/>
  <c r="T26" i="5"/>
  <c r="S26" i="5"/>
  <c r="R26" i="5"/>
  <c r="Q26" i="5"/>
  <c r="P26" i="5"/>
  <c r="O26" i="5"/>
  <c r="N26" i="5"/>
  <c r="K26" i="5"/>
  <c r="J26" i="5"/>
  <c r="H26" i="5"/>
  <c r="G26" i="5"/>
  <c r="F26" i="5"/>
  <c r="T23" i="5"/>
  <c r="S23" i="5"/>
  <c r="R23" i="5"/>
  <c r="Q23" i="5"/>
  <c r="P23" i="5"/>
  <c r="O23" i="5"/>
  <c r="N23" i="5"/>
  <c r="L23" i="5"/>
  <c r="K23" i="5"/>
  <c r="J23" i="5"/>
  <c r="H23" i="5"/>
  <c r="G23" i="5"/>
  <c r="F23" i="5"/>
  <c r="I22" i="5"/>
  <c r="T21" i="5"/>
  <c r="S21" i="5"/>
  <c r="R21" i="5"/>
  <c r="Q21" i="5"/>
  <c r="Q28" i="5" s="1"/>
  <c r="Q29" i="5" s="1"/>
  <c r="P21" i="5"/>
  <c r="O21" i="5"/>
  <c r="N21" i="5"/>
  <c r="M21" i="5"/>
  <c r="M28" i="5" s="1"/>
  <c r="M29" i="5" s="1"/>
  <c r="L21" i="5"/>
  <c r="K21" i="5"/>
  <c r="J21" i="5"/>
  <c r="H21" i="5"/>
  <c r="H28" i="5" s="1"/>
  <c r="H29" i="5" s="1"/>
  <c r="G21" i="5"/>
  <c r="F21" i="5"/>
  <c r="T20" i="5"/>
  <c r="S20" i="5"/>
  <c r="R20" i="5"/>
  <c r="Q20" i="5"/>
  <c r="P20" i="5"/>
  <c r="O20" i="5"/>
  <c r="N20" i="5"/>
  <c r="M20" i="5"/>
  <c r="L20" i="5"/>
  <c r="K20" i="5"/>
  <c r="J20" i="5"/>
  <c r="H20" i="5"/>
  <c r="G20" i="5"/>
  <c r="F20" i="5"/>
  <c r="I20" i="5" s="1"/>
  <c r="E17" i="5"/>
  <c r="D17" i="5"/>
  <c r="A17" i="5"/>
  <c r="T16" i="5"/>
  <c r="R16" i="5"/>
  <c r="Q16" i="5"/>
  <c r="P16" i="5"/>
  <c r="O16" i="5"/>
  <c r="N16" i="5"/>
  <c r="L16" i="5"/>
  <c r="K16" i="5"/>
  <c r="J16" i="5"/>
  <c r="H16" i="5"/>
  <c r="G16" i="5"/>
  <c r="F16" i="5"/>
  <c r="T15" i="5"/>
  <c r="T17" i="5" s="1"/>
  <c r="S15" i="5"/>
  <c r="S17" i="5" s="1"/>
  <c r="R15" i="5"/>
  <c r="R17" i="5" s="1"/>
  <c r="R18" i="5" s="1"/>
  <c r="Q15" i="5"/>
  <c r="P15" i="5"/>
  <c r="P17" i="5" s="1"/>
  <c r="P18" i="5" s="1"/>
  <c r="O15" i="5"/>
  <c r="O17" i="5" s="1"/>
  <c r="O18" i="5" s="1"/>
  <c r="N15" i="5"/>
  <c r="N17" i="5" s="1"/>
  <c r="M15" i="5"/>
  <c r="M17" i="5" s="1"/>
  <c r="L15" i="5"/>
  <c r="K15" i="5"/>
  <c r="J15" i="5"/>
  <c r="J17" i="5" s="1"/>
  <c r="H15" i="5"/>
  <c r="G15" i="5"/>
  <c r="F15" i="5"/>
  <c r="A12" i="5"/>
  <c r="T37" i="4"/>
  <c r="T38" i="4" s="1"/>
  <c r="S37" i="4"/>
  <c r="S38" i="4" s="1"/>
  <c r="R37" i="4"/>
  <c r="R38" i="4" s="1"/>
  <c r="Q37" i="4"/>
  <c r="Q38" i="4" s="1"/>
  <c r="P37" i="4"/>
  <c r="P38" i="4" s="1"/>
  <c r="O37" i="4"/>
  <c r="O38" i="4" s="1"/>
  <c r="N37" i="4"/>
  <c r="N38" i="4" s="1"/>
  <c r="M37" i="4"/>
  <c r="M38" i="4" s="1"/>
  <c r="L37" i="4"/>
  <c r="L38" i="4" s="1"/>
  <c r="K37" i="4"/>
  <c r="K38" i="4" s="1"/>
  <c r="J37" i="4"/>
  <c r="J38" i="4" s="1"/>
  <c r="I37" i="4"/>
  <c r="I38" i="4" s="1"/>
  <c r="H37" i="4"/>
  <c r="H38" i="4" s="1"/>
  <c r="G37" i="4"/>
  <c r="G38" i="4" s="1"/>
  <c r="F37" i="4"/>
  <c r="F38" i="4" s="1"/>
  <c r="E37" i="4"/>
  <c r="D37" i="4"/>
  <c r="E31" i="4"/>
  <c r="E33" i="4" s="1"/>
  <c r="D31" i="4"/>
  <c r="T29" i="4"/>
  <c r="R29" i="4"/>
  <c r="Q29" i="4"/>
  <c r="P29" i="4"/>
  <c r="O29" i="4"/>
  <c r="N29" i="4"/>
  <c r="L29" i="4"/>
  <c r="K29" i="4"/>
  <c r="J29" i="4"/>
  <c r="H29" i="4"/>
  <c r="G29" i="4"/>
  <c r="F29" i="4"/>
  <c r="T28" i="4"/>
  <c r="S28" i="4"/>
  <c r="R28" i="4"/>
  <c r="Q28" i="4"/>
  <c r="P28" i="4"/>
  <c r="O28" i="4"/>
  <c r="N28" i="4"/>
  <c r="K28" i="4"/>
  <c r="J28" i="4"/>
  <c r="H28" i="4"/>
  <c r="G28" i="4"/>
  <c r="F28" i="4"/>
  <c r="T26" i="4"/>
  <c r="S26" i="4"/>
  <c r="R26" i="4"/>
  <c r="Q26" i="4"/>
  <c r="P26" i="4"/>
  <c r="O26" i="4"/>
  <c r="N26" i="4"/>
  <c r="M26" i="4"/>
  <c r="L26" i="4"/>
  <c r="K26" i="4"/>
  <c r="J26" i="4"/>
  <c r="H26" i="4"/>
  <c r="G26" i="4"/>
  <c r="F26" i="4"/>
  <c r="T25" i="4"/>
  <c r="S25" i="4"/>
  <c r="P25" i="4"/>
  <c r="O25" i="4"/>
  <c r="M25" i="4"/>
  <c r="L25" i="4"/>
  <c r="K25" i="4"/>
  <c r="J25" i="4"/>
  <c r="H25" i="4"/>
  <c r="G25" i="4"/>
  <c r="F25" i="4"/>
  <c r="T23" i="4"/>
  <c r="S23" i="4"/>
  <c r="R23" i="4"/>
  <c r="Q23" i="4"/>
  <c r="P23" i="4"/>
  <c r="O23" i="4"/>
  <c r="N23" i="4"/>
  <c r="M23" i="4"/>
  <c r="L23" i="4"/>
  <c r="K23" i="4"/>
  <c r="J23" i="4"/>
  <c r="H23" i="4"/>
  <c r="G23" i="4"/>
  <c r="F23" i="4"/>
  <c r="S19" i="4"/>
  <c r="M19" i="4"/>
  <c r="M20" i="4" s="1"/>
  <c r="E19" i="4"/>
  <c r="E21" i="4" s="1"/>
  <c r="D19" i="4"/>
  <c r="T18" i="4"/>
  <c r="T19" i="4" s="1"/>
  <c r="R18" i="4"/>
  <c r="R19" i="4" s="1"/>
  <c r="Q18" i="4"/>
  <c r="Q19" i="4" s="1"/>
  <c r="P18" i="4"/>
  <c r="P19" i="4" s="1"/>
  <c r="O18" i="4"/>
  <c r="O19" i="4" s="1"/>
  <c r="N18" i="4"/>
  <c r="N19" i="4" s="1"/>
  <c r="L18" i="4"/>
  <c r="L19" i="4" s="1"/>
  <c r="L20" i="4" s="1"/>
  <c r="K18" i="4"/>
  <c r="K19" i="4" s="1"/>
  <c r="J18" i="4"/>
  <c r="J19" i="4" s="1"/>
  <c r="H18" i="4"/>
  <c r="G18" i="4"/>
  <c r="F18" i="4"/>
  <c r="I17" i="4"/>
  <c r="H15" i="4"/>
  <c r="H19" i="4" s="1"/>
  <c r="G15" i="4"/>
  <c r="G19" i="4" s="1"/>
  <c r="F15" i="4"/>
  <c r="F19" i="4" s="1"/>
  <c r="T35" i="3"/>
  <c r="T36" i="3" s="1"/>
  <c r="S35" i="3"/>
  <c r="S36" i="3" s="1"/>
  <c r="R35" i="3"/>
  <c r="R36" i="3" s="1"/>
  <c r="Q35" i="3"/>
  <c r="Q36" i="3" s="1"/>
  <c r="P35" i="3"/>
  <c r="P36" i="3" s="1"/>
  <c r="O35" i="3"/>
  <c r="O36" i="3" s="1"/>
  <c r="N35" i="3"/>
  <c r="N36" i="3" s="1"/>
  <c r="M35" i="3"/>
  <c r="M36" i="3" s="1"/>
  <c r="L35" i="3"/>
  <c r="L36" i="3" s="1"/>
  <c r="K35" i="3"/>
  <c r="K36" i="3" s="1"/>
  <c r="J35" i="3"/>
  <c r="J36" i="3" s="1"/>
  <c r="I35" i="3"/>
  <c r="I36" i="3" s="1"/>
  <c r="H35" i="3"/>
  <c r="H36" i="3" s="1"/>
  <c r="G35" i="3"/>
  <c r="G36" i="3" s="1"/>
  <c r="F35" i="3"/>
  <c r="F36" i="3" s="1"/>
  <c r="E35" i="3"/>
  <c r="D35" i="3"/>
  <c r="E29" i="3"/>
  <c r="E31" i="3" s="1"/>
  <c r="D29" i="3"/>
  <c r="T28" i="3"/>
  <c r="R28" i="3"/>
  <c r="Q28" i="3"/>
  <c r="P28" i="3"/>
  <c r="O28" i="3"/>
  <c r="N28" i="3"/>
  <c r="L28" i="3"/>
  <c r="K28" i="3"/>
  <c r="J28" i="3"/>
  <c r="H28" i="3"/>
  <c r="G28" i="3"/>
  <c r="F28" i="3"/>
  <c r="T27" i="3"/>
  <c r="S27" i="3"/>
  <c r="R27" i="3"/>
  <c r="Q27" i="3"/>
  <c r="P27" i="3"/>
  <c r="O27" i="3"/>
  <c r="N27" i="3"/>
  <c r="K27" i="3"/>
  <c r="J27" i="3"/>
  <c r="H27" i="3"/>
  <c r="G27" i="3"/>
  <c r="F27" i="3"/>
  <c r="I26" i="3"/>
  <c r="T25" i="3"/>
  <c r="S25" i="3"/>
  <c r="R25" i="3"/>
  <c r="Q25" i="3"/>
  <c r="P25" i="3"/>
  <c r="O25" i="3"/>
  <c r="N25" i="3"/>
  <c r="M25" i="3"/>
  <c r="K25" i="3"/>
  <c r="J25" i="3"/>
  <c r="H25" i="3"/>
  <c r="G25" i="3"/>
  <c r="F25" i="3"/>
  <c r="T24" i="3"/>
  <c r="S24" i="3"/>
  <c r="R24" i="3"/>
  <c r="Q24" i="3"/>
  <c r="P24" i="3"/>
  <c r="O24" i="3"/>
  <c r="N24" i="3"/>
  <c r="M24" i="3"/>
  <c r="L24" i="3"/>
  <c r="K24" i="3"/>
  <c r="J24" i="3"/>
  <c r="H24" i="3"/>
  <c r="G24" i="3"/>
  <c r="F24" i="3"/>
  <c r="I23" i="3"/>
  <c r="T22" i="3"/>
  <c r="S22" i="3"/>
  <c r="R22" i="3"/>
  <c r="Q22" i="3"/>
  <c r="P22" i="3"/>
  <c r="O22" i="3"/>
  <c r="N22" i="3"/>
  <c r="M22" i="3"/>
  <c r="L22" i="3"/>
  <c r="L29" i="3" s="1"/>
  <c r="L30" i="3" s="1"/>
  <c r="K22" i="3"/>
  <c r="J22" i="3"/>
  <c r="H22" i="3"/>
  <c r="G22" i="3"/>
  <c r="F22" i="3"/>
  <c r="W18" i="3"/>
  <c r="E18" i="3"/>
  <c r="E20" i="3" s="1"/>
  <c r="D18" i="3"/>
  <c r="T17" i="3"/>
  <c r="R17" i="3"/>
  <c r="Q17" i="3"/>
  <c r="P17" i="3"/>
  <c r="O17" i="3"/>
  <c r="N17" i="3"/>
  <c r="L17" i="3"/>
  <c r="K17" i="3"/>
  <c r="J17" i="3"/>
  <c r="H17" i="3"/>
  <c r="G17" i="3"/>
  <c r="F17" i="3"/>
  <c r="I16" i="3"/>
  <c r="T14" i="3"/>
  <c r="S14" i="3"/>
  <c r="S18" i="3" s="1"/>
  <c r="S19" i="3" s="1"/>
  <c r="R14" i="3"/>
  <c r="Q14" i="3"/>
  <c r="P14" i="3"/>
  <c r="O14" i="3"/>
  <c r="N14" i="3"/>
  <c r="M14" i="3"/>
  <c r="M18" i="3" s="1"/>
  <c r="L14" i="3"/>
  <c r="K14" i="3"/>
  <c r="J14" i="3"/>
  <c r="H14" i="3"/>
  <c r="G14" i="3"/>
  <c r="F14" i="3"/>
  <c r="F18" i="3" s="1"/>
  <c r="I13" i="3"/>
  <c r="F34" i="1"/>
  <c r="F35" i="1" s="1"/>
  <c r="H34" i="1"/>
  <c r="H35" i="1"/>
  <c r="J34" i="1"/>
  <c r="K34" i="1"/>
  <c r="K35" i="1" s="1"/>
  <c r="L34" i="1"/>
  <c r="L35" i="1" s="1"/>
  <c r="N34" i="1"/>
  <c r="O34" i="1"/>
  <c r="O35" i="1" s="1"/>
  <c r="P34" i="1"/>
  <c r="R34" i="1"/>
  <c r="S34" i="1"/>
  <c r="S35" i="1" s="1"/>
  <c r="D15" i="1"/>
  <c r="E34" i="1"/>
  <c r="T34" i="1"/>
  <c r="T35" i="1" s="1"/>
  <c r="G34" i="1"/>
  <c r="M34" i="1"/>
  <c r="M35" i="1"/>
  <c r="D34" i="1"/>
  <c r="Q34" i="1"/>
  <c r="Q35" i="1" s="1"/>
  <c r="E28" i="1"/>
  <c r="E30" i="1" s="1"/>
  <c r="D28" i="1"/>
  <c r="T27" i="1"/>
  <c r="R27" i="1"/>
  <c r="Q27" i="1"/>
  <c r="P27" i="1"/>
  <c r="O27" i="1"/>
  <c r="N27" i="1"/>
  <c r="L27" i="1"/>
  <c r="K27" i="1"/>
  <c r="J27" i="1"/>
  <c r="H27" i="1"/>
  <c r="G27" i="1"/>
  <c r="F27" i="1"/>
  <c r="I27" i="1" s="1"/>
  <c r="T26" i="1"/>
  <c r="S26" i="1"/>
  <c r="R26" i="1"/>
  <c r="Q26" i="1"/>
  <c r="P26" i="1"/>
  <c r="O26" i="1"/>
  <c r="N26" i="1"/>
  <c r="K26" i="1"/>
  <c r="J26" i="1"/>
  <c r="H26" i="1"/>
  <c r="G26" i="1"/>
  <c r="F26" i="1"/>
  <c r="T24" i="1"/>
  <c r="S24" i="1"/>
  <c r="R24" i="1"/>
  <c r="Q24" i="1"/>
  <c r="Q28" i="1" s="1"/>
  <c r="Q29" i="1" s="1"/>
  <c r="P24" i="1"/>
  <c r="O24" i="1"/>
  <c r="N24" i="1"/>
  <c r="N28" i="1" s="1"/>
  <c r="N29" i="1" s="1"/>
  <c r="M24" i="1"/>
  <c r="K24" i="1"/>
  <c r="J24" i="1"/>
  <c r="H24" i="1"/>
  <c r="G24" i="1"/>
  <c r="G28" i="1" s="1"/>
  <c r="G29" i="1" s="1"/>
  <c r="F24" i="1"/>
  <c r="R23" i="1"/>
  <c r="M23" i="1"/>
  <c r="T22" i="1"/>
  <c r="S22" i="1"/>
  <c r="P22" i="1"/>
  <c r="O22" i="1"/>
  <c r="M22" i="1"/>
  <c r="M28" i="1" s="1"/>
  <c r="M29" i="1" s="1"/>
  <c r="L22" i="1"/>
  <c r="K22" i="1"/>
  <c r="J22" i="1"/>
  <c r="H22" i="1"/>
  <c r="H28" i="1" s="1"/>
  <c r="G22" i="1"/>
  <c r="F22" i="1"/>
  <c r="T21" i="1"/>
  <c r="S21" i="1"/>
  <c r="R21" i="1"/>
  <c r="Q21" i="1"/>
  <c r="P21" i="1"/>
  <c r="P28" i="1" s="1"/>
  <c r="P29" i="1" s="1"/>
  <c r="O21" i="1"/>
  <c r="O28" i="1" s="1"/>
  <c r="N21" i="1"/>
  <c r="M21" i="1"/>
  <c r="L21" i="1"/>
  <c r="K21" i="1"/>
  <c r="J21" i="1"/>
  <c r="H21" i="1"/>
  <c r="G21" i="1"/>
  <c r="F21" i="1"/>
  <c r="I21" i="1" s="1"/>
  <c r="T20" i="1"/>
  <c r="S20" i="1"/>
  <c r="R20" i="1"/>
  <c r="Q20" i="1"/>
  <c r="P20" i="1"/>
  <c r="O20" i="1"/>
  <c r="N20" i="1"/>
  <c r="M20" i="1"/>
  <c r="L20" i="1"/>
  <c r="K20" i="1"/>
  <c r="J20" i="1"/>
  <c r="H20" i="1"/>
  <c r="I20" i="1" s="1"/>
  <c r="G20" i="1"/>
  <c r="F20" i="1"/>
  <c r="E15" i="1"/>
  <c r="E18" i="1"/>
  <c r="T14" i="1"/>
  <c r="R14" i="1"/>
  <c r="Q14" i="1"/>
  <c r="P14" i="1"/>
  <c r="O14" i="1"/>
  <c r="N14" i="1"/>
  <c r="L14" i="1"/>
  <c r="L15" i="1"/>
  <c r="L16" i="1" s="1"/>
  <c r="K14" i="1"/>
  <c r="J14" i="1"/>
  <c r="H14" i="1"/>
  <c r="G14" i="1"/>
  <c r="I14" i="1" s="1"/>
  <c r="F14" i="1"/>
  <c r="I13" i="1"/>
  <c r="T12" i="1"/>
  <c r="S12" i="1"/>
  <c r="S15" i="1" s="1"/>
  <c r="R12" i="1"/>
  <c r="R15" i="1" s="1"/>
  <c r="R16" i="1" s="1"/>
  <c r="Q12" i="1"/>
  <c r="P12" i="1"/>
  <c r="O12" i="1"/>
  <c r="O15" i="1"/>
  <c r="O16" i="1" s="1"/>
  <c r="N12" i="1"/>
  <c r="N15" i="1" s="1"/>
  <c r="M12" i="1"/>
  <c r="M15" i="1"/>
  <c r="M36" i="1" s="1"/>
  <c r="M38" i="1" s="1"/>
  <c r="K12" i="1"/>
  <c r="K15" i="1" s="1"/>
  <c r="J12" i="1"/>
  <c r="H12" i="1"/>
  <c r="G12" i="1"/>
  <c r="F12" i="1"/>
  <c r="I12" i="1" s="1"/>
  <c r="H10" i="1"/>
  <c r="G10" i="1"/>
  <c r="G15" i="1" s="1"/>
  <c r="F10" i="1"/>
  <c r="F15" i="1" s="1"/>
  <c r="F16" i="1" s="1"/>
  <c r="T28" i="1"/>
  <c r="T29" i="1" s="1"/>
  <c r="I34" i="1"/>
  <c r="J35" i="1"/>
  <c r="G35" i="1"/>
  <c r="N35" i="1"/>
  <c r="P35" i="1"/>
  <c r="R35" i="1"/>
  <c r="K28" i="1"/>
  <c r="K29" i="1" s="1"/>
  <c r="R28" i="1"/>
  <c r="R29" i="1" s="1"/>
  <c r="I26" i="1"/>
  <c r="T15" i="1"/>
  <c r="T16" i="1" s="1"/>
  <c r="H15" i="1"/>
  <c r="H16" i="1" s="1"/>
  <c r="J28" i="1"/>
  <c r="J29" i="1" s="1"/>
  <c r="S28" i="1"/>
  <c r="S29" i="1" s="1"/>
  <c r="I35" i="1"/>
  <c r="M16" i="1"/>
  <c r="I23" i="7" l="1"/>
  <c r="L30" i="7"/>
  <c r="L31" i="7" s="1"/>
  <c r="I26" i="7"/>
  <c r="O30" i="7"/>
  <c r="O31" i="7" s="1"/>
  <c r="I14" i="7"/>
  <c r="I18" i="7"/>
  <c r="H19" i="7"/>
  <c r="H20" i="7" s="1"/>
  <c r="O19" i="7"/>
  <c r="O38" i="7" s="1"/>
  <c r="O40" i="7" s="1"/>
  <c r="S19" i="7"/>
  <c r="J19" i="7"/>
  <c r="N19" i="7"/>
  <c r="R19" i="7"/>
  <c r="R20" i="7" s="1"/>
  <c r="H30" i="7"/>
  <c r="H31" i="7" s="1"/>
  <c r="M30" i="7"/>
  <c r="M31" i="7" s="1"/>
  <c r="K19" i="7"/>
  <c r="I15" i="7"/>
  <c r="N30" i="7"/>
  <c r="N31" i="7" s="1"/>
  <c r="R30" i="7"/>
  <c r="R31" i="7" s="1"/>
  <c r="I29" i="7"/>
  <c r="L19" i="7"/>
  <c r="S30" i="7"/>
  <c r="S31" i="7" s="1"/>
  <c r="I28" i="7"/>
  <c r="T31" i="12"/>
  <c r="T32" i="12" s="1"/>
  <c r="N20" i="12"/>
  <c r="N21" i="12" s="1"/>
  <c r="R20" i="12"/>
  <c r="R21" i="12" s="1"/>
  <c r="I19" i="12"/>
  <c r="K20" i="12"/>
  <c r="J20" i="12"/>
  <c r="J39" i="12" s="1"/>
  <c r="J41" i="12" s="1"/>
  <c r="O20" i="12"/>
  <c r="O39" i="12" s="1"/>
  <c r="O41" i="12" s="1"/>
  <c r="O31" i="12"/>
  <c r="O32" i="12" s="1"/>
  <c r="S31" i="12"/>
  <c r="S32" i="12" s="1"/>
  <c r="L20" i="12"/>
  <c r="P20" i="12"/>
  <c r="P21" i="12" s="1"/>
  <c r="T20" i="12"/>
  <c r="T39" i="12" s="1"/>
  <c r="T41" i="12" s="1"/>
  <c r="P31" i="12"/>
  <c r="P32" i="12" s="1"/>
  <c r="H20" i="12"/>
  <c r="M20" i="12"/>
  <c r="I30" i="12"/>
  <c r="L31" i="12"/>
  <c r="L32" i="12" s="1"/>
  <c r="Q31" i="12"/>
  <c r="Q32" i="12" s="1"/>
  <c r="F20" i="12"/>
  <c r="I16" i="12"/>
  <c r="Q21" i="12"/>
  <c r="O21" i="12"/>
  <c r="S39" i="12"/>
  <c r="S41" i="12" s="1"/>
  <c r="S21" i="12"/>
  <c r="K21" i="12"/>
  <c r="G20" i="12"/>
  <c r="N31" i="12"/>
  <c r="N32" i="12" s="1"/>
  <c r="R31" i="12"/>
  <c r="R32" i="12" s="1"/>
  <c r="H31" i="12"/>
  <c r="H32" i="12" s="1"/>
  <c r="I29" i="12"/>
  <c r="I17" i="12"/>
  <c r="G31" i="12"/>
  <c r="G32" i="12" s="1"/>
  <c r="H21" i="12"/>
  <c r="L21" i="12"/>
  <c r="P39" i="12"/>
  <c r="P41" i="12" s="1"/>
  <c r="F31" i="12"/>
  <c r="F32" i="12" s="1"/>
  <c r="I25" i="12"/>
  <c r="K31" i="12"/>
  <c r="K32" i="12" s="1"/>
  <c r="H17" i="11"/>
  <c r="R17" i="11"/>
  <c r="R18" i="11" s="1"/>
  <c r="F27" i="11"/>
  <c r="F28" i="11" s="1"/>
  <c r="T17" i="11"/>
  <c r="T18" i="11" s="1"/>
  <c r="J17" i="11"/>
  <c r="J18" i="11" s="1"/>
  <c r="N17" i="11"/>
  <c r="N18" i="11" s="1"/>
  <c r="O27" i="11"/>
  <c r="O28" i="11" s="1"/>
  <c r="S27" i="11"/>
  <c r="S28" i="11" s="1"/>
  <c r="F17" i="11"/>
  <c r="K17" i="11"/>
  <c r="O17" i="11"/>
  <c r="O35" i="11" s="1"/>
  <c r="O37" i="11" s="1"/>
  <c r="J27" i="11"/>
  <c r="J28" i="11" s="1"/>
  <c r="N27" i="11"/>
  <c r="N28" i="11" s="1"/>
  <c r="I23" i="11"/>
  <c r="P27" i="11"/>
  <c r="P28" i="11" s="1"/>
  <c r="R27" i="11"/>
  <c r="R28" i="11" s="1"/>
  <c r="F18" i="11"/>
  <c r="K18" i="11"/>
  <c r="K35" i="11"/>
  <c r="K37" i="11" s="1"/>
  <c r="S18" i="11"/>
  <c r="G17" i="11"/>
  <c r="P18" i="11"/>
  <c r="M18" i="11"/>
  <c r="N35" i="11"/>
  <c r="N37" i="11" s="1"/>
  <c r="I16" i="11"/>
  <c r="L18" i="11"/>
  <c r="L35" i="11"/>
  <c r="L37" i="11" s="1"/>
  <c r="I13" i="11"/>
  <c r="H18" i="11"/>
  <c r="H35" i="11"/>
  <c r="H37" i="11" s="1"/>
  <c r="T27" i="11"/>
  <c r="T28" i="11" s="1"/>
  <c r="M27" i="11"/>
  <c r="M28" i="11" s="1"/>
  <c r="Q27" i="11"/>
  <c r="I27" i="11"/>
  <c r="I28" i="11" s="1"/>
  <c r="J18" i="10"/>
  <c r="J19" i="10" s="1"/>
  <c r="Q18" i="10"/>
  <c r="Q19" i="10" s="1"/>
  <c r="I17" i="10"/>
  <c r="P30" i="10"/>
  <c r="P31" i="10" s="1"/>
  <c r="T30" i="10"/>
  <c r="T31" i="10" s="1"/>
  <c r="F30" i="10"/>
  <c r="F31" i="10" s="1"/>
  <c r="H30" i="10"/>
  <c r="H31" i="10" s="1"/>
  <c r="N30" i="10"/>
  <c r="N31" i="10" s="1"/>
  <c r="I29" i="10"/>
  <c r="L30" i="10"/>
  <c r="L31" i="10" s="1"/>
  <c r="Q30" i="10"/>
  <c r="Q31" i="10" s="1"/>
  <c r="I27" i="10"/>
  <c r="P18" i="10"/>
  <c r="P19" i="10" s="1"/>
  <c r="T18" i="10"/>
  <c r="N18" i="10"/>
  <c r="N19" i="10" s="1"/>
  <c r="R18" i="10"/>
  <c r="R19" i="10" s="1"/>
  <c r="J30" i="10"/>
  <c r="J31" i="10" s="1"/>
  <c r="M38" i="10"/>
  <c r="M40" i="10" s="1"/>
  <c r="N38" i="10"/>
  <c r="N40" i="10" s="1"/>
  <c r="L38" i="10"/>
  <c r="L40" i="10" s="1"/>
  <c r="L19" i="10"/>
  <c r="T38" i="10"/>
  <c r="T40" i="10" s="1"/>
  <c r="T19" i="10"/>
  <c r="F19" i="10"/>
  <c r="F38" i="10"/>
  <c r="F40" i="10" s="1"/>
  <c r="H18" i="10"/>
  <c r="I16" i="10"/>
  <c r="I18" i="10" s="1"/>
  <c r="S19" i="10"/>
  <c r="K19" i="10"/>
  <c r="K30" i="10"/>
  <c r="K31" i="10" s="1"/>
  <c r="O30" i="10"/>
  <c r="O31" i="10" s="1"/>
  <c r="S30" i="10"/>
  <c r="S31" i="10" s="1"/>
  <c r="I25" i="10"/>
  <c r="G30" i="10"/>
  <c r="G31" i="10" s="1"/>
  <c r="I22" i="10"/>
  <c r="I30" i="10" s="1"/>
  <c r="I31" i="10" s="1"/>
  <c r="I26" i="9"/>
  <c r="I30" i="9"/>
  <c r="J31" i="9"/>
  <c r="J32" i="9" s="1"/>
  <c r="N31" i="9"/>
  <c r="N32" i="9" s="1"/>
  <c r="R31" i="9"/>
  <c r="R32" i="9" s="1"/>
  <c r="I25" i="9"/>
  <c r="Q31" i="9"/>
  <c r="Q32" i="9" s="1"/>
  <c r="P31" i="9"/>
  <c r="P32" i="9" s="1"/>
  <c r="S31" i="9"/>
  <c r="S32" i="9" s="1"/>
  <c r="H39" i="9"/>
  <c r="H41" i="9" s="1"/>
  <c r="H20" i="9"/>
  <c r="K39" i="9"/>
  <c r="K41" i="9" s="1"/>
  <c r="I28" i="9"/>
  <c r="I14" i="9"/>
  <c r="G19" i="9"/>
  <c r="L20" i="9"/>
  <c r="Q39" i="9"/>
  <c r="Q41" i="9" s="1"/>
  <c r="Q20" i="9"/>
  <c r="J20" i="9"/>
  <c r="J39" i="9"/>
  <c r="J41" i="9" s="1"/>
  <c r="R39" i="9"/>
  <c r="R41" i="9" s="1"/>
  <c r="I18" i="9"/>
  <c r="N20" i="9"/>
  <c r="N39" i="9"/>
  <c r="N41" i="9" s="1"/>
  <c r="G31" i="9"/>
  <c r="G32" i="9" s="1"/>
  <c r="L31" i="9"/>
  <c r="L32" i="9" s="1"/>
  <c r="T31" i="9"/>
  <c r="T32" i="9" s="1"/>
  <c r="F19" i="9"/>
  <c r="F31" i="9"/>
  <c r="F32" i="9" s="1"/>
  <c r="I24" i="9"/>
  <c r="K31" i="9"/>
  <c r="K32" i="9" s="1"/>
  <c r="O31" i="9"/>
  <c r="O32" i="9" s="1"/>
  <c r="M39" i="9"/>
  <c r="M41" i="9" s="1"/>
  <c r="S21" i="8"/>
  <c r="S40" i="8" s="1"/>
  <c r="S42" i="8" s="1"/>
  <c r="I17" i="8"/>
  <c r="I20" i="8"/>
  <c r="J32" i="8"/>
  <c r="J33" i="8" s="1"/>
  <c r="O32" i="8"/>
  <c r="O33" i="8" s="1"/>
  <c r="N32" i="8"/>
  <c r="N33" i="8" s="1"/>
  <c r="R32" i="8"/>
  <c r="R33" i="8" s="1"/>
  <c r="I31" i="8"/>
  <c r="J21" i="8"/>
  <c r="J22" i="8" s="1"/>
  <c r="O21" i="8"/>
  <c r="O22" i="8" s="1"/>
  <c r="P21" i="8"/>
  <c r="P22" i="8" s="1"/>
  <c r="N21" i="8"/>
  <c r="N40" i="8" s="1"/>
  <c r="N42" i="8" s="1"/>
  <c r="H32" i="8"/>
  <c r="H33" i="8" s="1"/>
  <c r="G21" i="8"/>
  <c r="M21" i="8"/>
  <c r="M40" i="8" s="1"/>
  <c r="M42" i="8" s="1"/>
  <c r="Q21" i="8"/>
  <c r="Q40" i="8" s="1"/>
  <c r="Q42" i="8" s="1"/>
  <c r="I16" i="8"/>
  <c r="G22" i="8"/>
  <c r="M22" i="8"/>
  <c r="K21" i="8"/>
  <c r="R22" i="8"/>
  <c r="N22" i="8"/>
  <c r="S22" i="8"/>
  <c r="P32" i="8"/>
  <c r="P33" i="8" s="1"/>
  <c r="H21" i="8"/>
  <c r="I28" i="8"/>
  <c r="K32" i="8"/>
  <c r="K33" i="8" s="1"/>
  <c r="I25" i="8"/>
  <c r="F32" i="8"/>
  <c r="F33" i="8" s="1"/>
  <c r="I15" i="8"/>
  <c r="I21" i="8" s="1"/>
  <c r="T21" i="8"/>
  <c r="F21" i="8"/>
  <c r="L22" i="8"/>
  <c r="G32" i="8"/>
  <c r="G33" i="8" s="1"/>
  <c r="I28" i="3"/>
  <c r="J18" i="3"/>
  <c r="J37" i="3" s="1"/>
  <c r="J39" i="3" s="1"/>
  <c r="K18" i="3"/>
  <c r="K19" i="3" s="1"/>
  <c r="K29" i="3"/>
  <c r="K30" i="3" s="1"/>
  <c r="G18" i="3"/>
  <c r="G19" i="3" s="1"/>
  <c r="L18" i="3"/>
  <c r="L19" i="3" s="1"/>
  <c r="P18" i="3"/>
  <c r="P19" i="3" s="1"/>
  <c r="T18" i="3"/>
  <c r="T37" i="3" s="1"/>
  <c r="T39" i="3" s="1"/>
  <c r="I17" i="3"/>
  <c r="N18" i="3"/>
  <c r="N37" i="3" s="1"/>
  <c r="N39" i="3" s="1"/>
  <c r="R18" i="3"/>
  <c r="F29" i="3"/>
  <c r="F30" i="3" s="1"/>
  <c r="O29" i="3"/>
  <c r="O30" i="3" s="1"/>
  <c r="S29" i="3"/>
  <c r="S30" i="3" s="1"/>
  <c r="O18" i="3"/>
  <c r="O19" i="3" s="1"/>
  <c r="G29" i="3"/>
  <c r="G30" i="3" s="1"/>
  <c r="T29" i="3"/>
  <c r="T30" i="3" s="1"/>
  <c r="I24" i="3"/>
  <c r="I25" i="3"/>
  <c r="J29" i="3"/>
  <c r="J30" i="3" s="1"/>
  <c r="N29" i="3"/>
  <c r="N30" i="3" s="1"/>
  <c r="P29" i="3"/>
  <c r="P30" i="3" s="1"/>
  <c r="H18" i="3"/>
  <c r="H29" i="3"/>
  <c r="H30" i="3" s="1"/>
  <c r="M29" i="3"/>
  <c r="M30" i="3" s="1"/>
  <c r="Q18" i="3"/>
  <c r="R29" i="3"/>
  <c r="R30" i="3" s="1"/>
  <c r="I27" i="3"/>
  <c r="K30" i="7"/>
  <c r="K31" i="7" s="1"/>
  <c r="S38" i="7"/>
  <c r="S40" i="7" s="1"/>
  <c r="S20" i="7"/>
  <c r="J20" i="7"/>
  <c r="J38" i="7"/>
  <c r="J40" i="7" s="1"/>
  <c r="N20" i="7"/>
  <c r="N38" i="7"/>
  <c r="N40" i="7" s="1"/>
  <c r="F20" i="7"/>
  <c r="I13" i="7"/>
  <c r="G19" i="7"/>
  <c r="M19" i="7"/>
  <c r="Q19" i="7"/>
  <c r="G30" i="7"/>
  <c r="G31" i="7" s="1"/>
  <c r="T38" i="7"/>
  <c r="T40" i="7" s="1"/>
  <c r="Q30" i="7"/>
  <c r="Q31" i="7" s="1"/>
  <c r="H38" i="7"/>
  <c r="H40" i="7" s="1"/>
  <c r="K38" i="7"/>
  <c r="K40" i="7" s="1"/>
  <c r="K20" i="7"/>
  <c r="F30" i="7"/>
  <c r="F31" i="7" s="1"/>
  <c r="P38" i="7"/>
  <c r="P40" i="7" s="1"/>
  <c r="I18" i="4"/>
  <c r="I23" i="4"/>
  <c r="K31" i="4"/>
  <c r="K32" i="4" s="1"/>
  <c r="J31" i="4"/>
  <c r="J32" i="4" s="1"/>
  <c r="N31" i="4"/>
  <c r="N32" i="4" s="1"/>
  <c r="R31" i="4"/>
  <c r="R32" i="4" s="1"/>
  <c r="I26" i="4"/>
  <c r="Q31" i="4"/>
  <c r="Q32" i="4" s="1"/>
  <c r="I28" i="4"/>
  <c r="O31" i="4"/>
  <c r="O32" i="4" s="1"/>
  <c r="S31" i="4"/>
  <c r="S32" i="4" s="1"/>
  <c r="I25" i="4"/>
  <c r="M31" i="4"/>
  <c r="M32" i="4" s="1"/>
  <c r="G31" i="4"/>
  <c r="G32" i="4" s="1"/>
  <c r="L31" i="4"/>
  <c r="L32" i="4" s="1"/>
  <c r="T31" i="4"/>
  <c r="T32" i="4" s="1"/>
  <c r="H31" i="4"/>
  <c r="H32" i="4" s="1"/>
  <c r="P31" i="4"/>
  <c r="P32" i="4" s="1"/>
  <c r="I29" i="4"/>
  <c r="K17" i="5"/>
  <c r="K18" i="5" s="1"/>
  <c r="I16" i="5"/>
  <c r="J28" i="5"/>
  <c r="J29" i="5" s="1"/>
  <c r="K28" i="5"/>
  <c r="K29" i="5" s="1"/>
  <c r="S28" i="5"/>
  <c r="S29" i="5" s="1"/>
  <c r="I26" i="5"/>
  <c r="O28" i="5"/>
  <c r="O29" i="5" s="1"/>
  <c r="H17" i="5"/>
  <c r="H18" i="5" s="1"/>
  <c r="Q17" i="5"/>
  <c r="F17" i="5"/>
  <c r="L28" i="5"/>
  <c r="L29" i="5" s="1"/>
  <c r="P28" i="5"/>
  <c r="P29" i="5" s="1"/>
  <c r="T28" i="5"/>
  <c r="T29" i="5" s="1"/>
  <c r="I23" i="5"/>
  <c r="R28" i="5"/>
  <c r="R29" i="5" s="1"/>
  <c r="G28" i="5"/>
  <c r="G29" i="5" s="1"/>
  <c r="N36" i="1"/>
  <c r="N38" i="1" s="1"/>
  <c r="N16" i="1"/>
  <c r="G16" i="1"/>
  <c r="G36" i="1"/>
  <c r="G38" i="1" s="1"/>
  <c r="K16" i="1"/>
  <c r="K36" i="1"/>
  <c r="K38" i="1" s="1"/>
  <c r="S36" i="1"/>
  <c r="S38" i="1" s="1"/>
  <c r="S16" i="1"/>
  <c r="O29" i="1"/>
  <c r="O36" i="1"/>
  <c r="O38" i="1" s="1"/>
  <c r="H29" i="1"/>
  <c r="H36" i="1"/>
  <c r="H38" i="1" s="1"/>
  <c r="F28" i="1"/>
  <c r="F29" i="1" s="1"/>
  <c r="Q15" i="1"/>
  <c r="T36" i="1"/>
  <c r="T38" i="1" s="1"/>
  <c r="I24" i="1"/>
  <c r="I10" i="1"/>
  <c r="P15" i="1"/>
  <c r="P16" i="1" s="1"/>
  <c r="J15" i="1"/>
  <c r="I22" i="1"/>
  <c r="I28" i="1" s="1"/>
  <c r="I29" i="1" s="1"/>
  <c r="F36" i="1"/>
  <c r="F38" i="1" s="1"/>
  <c r="L28" i="1"/>
  <c r="L29" i="1" s="1"/>
  <c r="T18" i="5"/>
  <c r="T36" i="5"/>
  <c r="T38" i="5" s="1"/>
  <c r="Q36" i="5"/>
  <c r="Q38" i="5" s="1"/>
  <c r="F18" i="5"/>
  <c r="N18" i="5"/>
  <c r="F28" i="5"/>
  <c r="F29" i="5" s="1"/>
  <c r="I21" i="5"/>
  <c r="I28" i="5" s="1"/>
  <c r="I29" i="5" s="1"/>
  <c r="N28" i="5"/>
  <c r="N29" i="5" s="1"/>
  <c r="J18" i="5"/>
  <c r="Q18" i="5"/>
  <c r="G17" i="5"/>
  <c r="I15" i="5"/>
  <c r="I17" i="5" s="1"/>
  <c r="L17" i="5"/>
  <c r="M36" i="5"/>
  <c r="M38" i="5" s="1"/>
  <c r="M18" i="5"/>
  <c r="S18" i="5"/>
  <c r="K39" i="4"/>
  <c r="K41" i="4" s="1"/>
  <c r="K20" i="4"/>
  <c r="P20" i="4"/>
  <c r="G20" i="4"/>
  <c r="Q20" i="4"/>
  <c r="H20" i="4"/>
  <c r="N39" i="4"/>
  <c r="N41" i="4" s="1"/>
  <c r="N20" i="4"/>
  <c r="R39" i="4"/>
  <c r="R41" i="4" s="1"/>
  <c r="R20" i="4"/>
  <c r="F20" i="4"/>
  <c r="J20" i="4"/>
  <c r="O39" i="4"/>
  <c r="O41" i="4" s="1"/>
  <c r="O20" i="4"/>
  <c r="I15" i="4"/>
  <c r="I19" i="4" s="1"/>
  <c r="F31" i="4"/>
  <c r="F32" i="4" s="1"/>
  <c r="M39" i="4"/>
  <c r="M41" i="4" s="1"/>
  <c r="L39" i="4"/>
  <c r="L41" i="4" s="1"/>
  <c r="S20" i="4"/>
  <c r="T20" i="4"/>
  <c r="R19" i="3"/>
  <c r="I14" i="3"/>
  <c r="I18" i="3" s="1"/>
  <c r="F37" i="3"/>
  <c r="F39" i="3" s="1"/>
  <c r="M19" i="3"/>
  <c r="K37" i="3"/>
  <c r="K39" i="3" s="1"/>
  <c r="I22" i="3"/>
  <c r="Q29" i="3"/>
  <c r="Q30" i="3" s="1"/>
  <c r="F19" i="3"/>
  <c r="J16" i="1"/>
  <c r="J36" i="1"/>
  <c r="J38" i="1" s="1"/>
  <c r="P36" i="1"/>
  <c r="P38" i="1" s="1"/>
  <c r="I15" i="1"/>
  <c r="R36" i="1"/>
  <c r="R38" i="1" s="1"/>
  <c r="R38" i="7" l="1"/>
  <c r="R40" i="7" s="1"/>
  <c r="O20" i="7"/>
  <c r="I30" i="7"/>
  <c r="I31" i="7" s="1"/>
  <c r="I19" i="7"/>
  <c r="I20" i="7" s="1"/>
  <c r="L20" i="7"/>
  <c r="L38" i="7"/>
  <c r="L40" i="7" s="1"/>
  <c r="H39" i="12"/>
  <c r="H41" i="12" s="1"/>
  <c r="T21" i="12"/>
  <c r="Q39" i="12"/>
  <c r="Q41" i="12" s="1"/>
  <c r="R39" i="12"/>
  <c r="R41" i="12" s="1"/>
  <c r="J21" i="12"/>
  <c r="L39" i="12"/>
  <c r="L41" i="12" s="1"/>
  <c r="M21" i="12"/>
  <c r="M39" i="12"/>
  <c r="M41" i="12" s="1"/>
  <c r="K39" i="12"/>
  <c r="K41" i="12" s="1"/>
  <c r="G39" i="12"/>
  <c r="G41" i="12" s="1"/>
  <c r="G21" i="12"/>
  <c r="I31" i="12"/>
  <c r="I32" i="12" s="1"/>
  <c r="I20" i="12"/>
  <c r="N39" i="12"/>
  <c r="N41" i="12" s="1"/>
  <c r="F21" i="12"/>
  <c r="F39" i="12"/>
  <c r="F41" i="12" s="1"/>
  <c r="I17" i="11"/>
  <c r="O18" i="11"/>
  <c r="J35" i="11"/>
  <c r="J37" i="11" s="1"/>
  <c r="F35" i="11"/>
  <c r="F37" i="11" s="1"/>
  <c r="P35" i="11"/>
  <c r="P37" i="11" s="1"/>
  <c r="S35" i="11"/>
  <c r="S37" i="11" s="1"/>
  <c r="R35" i="11"/>
  <c r="R37" i="11" s="1"/>
  <c r="T35" i="11"/>
  <c r="T37" i="11" s="1"/>
  <c r="G18" i="11"/>
  <c r="G35" i="11"/>
  <c r="G37" i="11" s="1"/>
  <c r="I35" i="11"/>
  <c r="I37" i="11" s="1"/>
  <c r="I18" i="11"/>
  <c r="M35" i="11"/>
  <c r="M37" i="11" s="1"/>
  <c r="Q28" i="11"/>
  <c r="Q35" i="11"/>
  <c r="Q37" i="11" s="1"/>
  <c r="R38" i="10"/>
  <c r="R40" i="10" s="1"/>
  <c r="P38" i="10"/>
  <c r="P40" i="10" s="1"/>
  <c r="Q38" i="10"/>
  <c r="Q40" i="10" s="1"/>
  <c r="J38" i="10"/>
  <c r="J40" i="10" s="1"/>
  <c r="I19" i="10"/>
  <c r="I38" i="10"/>
  <c r="I40" i="10" s="1"/>
  <c r="K38" i="10"/>
  <c r="K40" i="10" s="1"/>
  <c r="S38" i="10"/>
  <c r="S40" i="10" s="1"/>
  <c r="H38" i="10"/>
  <c r="H40" i="10" s="1"/>
  <c r="H19" i="10"/>
  <c r="G38" i="10"/>
  <c r="G40" i="10" s="1"/>
  <c r="O38" i="10"/>
  <c r="O40" i="10" s="1"/>
  <c r="I31" i="9"/>
  <c r="I32" i="9" s="1"/>
  <c r="I19" i="9"/>
  <c r="P39" i="9"/>
  <c r="P41" i="9" s="1"/>
  <c r="S39" i="9"/>
  <c r="S41" i="9" s="1"/>
  <c r="F20" i="9"/>
  <c r="F39" i="9"/>
  <c r="F41" i="9" s="1"/>
  <c r="T39" i="9"/>
  <c r="T41" i="9" s="1"/>
  <c r="L39" i="9"/>
  <c r="L41" i="9" s="1"/>
  <c r="O39" i="9"/>
  <c r="O41" i="9" s="1"/>
  <c r="G39" i="9"/>
  <c r="G41" i="9" s="1"/>
  <c r="G20" i="9"/>
  <c r="Q22" i="8"/>
  <c r="O40" i="8"/>
  <c r="O42" i="8" s="1"/>
  <c r="I32" i="8"/>
  <c r="I33" i="8" s="1"/>
  <c r="J40" i="8"/>
  <c r="J42" i="8" s="1"/>
  <c r="P40" i="8"/>
  <c r="P42" i="8" s="1"/>
  <c r="R40" i="8"/>
  <c r="R42" i="8" s="1"/>
  <c r="I22" i="8"/>
  <c r="I40" i="8"/>
  <c r="I42" i="8" s="1"/>
  <c r="F22" i="8"/>
  <c r="F40" i="8"/>
  <c r="F42" i="8" s="1"/>
  <c r="G40" i="8"/>
  <c r="G42" i="8" s="1"/>
  <c r="T40" i="8"/>
  <c r="T42" i="8" s="1"/>
  <c r="T22" i="8"/>
  <c r="K22" i="8"/>
  <c r="K40" i="8"/>
  <c r="K42" i="8" s="1"/>
  <c r="H40" i="8"/>
  <c r="H42" i="8" s="1"/>
  <c r="H22" i="8"/>
  <c r="T19" i="3"/>
  <c r="H37" i="3"/>
  <c r="H39" i="3" s="1"/>
  <c r="G37" i="3"/>
  <c r="G39" i="3" s="1"/>
  <c r="O37" i="3"/>
  <c r="O39" i="3" s="1"/>
  <c r="J19" i="3"/>
  <c r="H19" i="3"/>
  <c r="L37" i="3"/>
  <c r="L39" i="3" s="1"/>
  <c r="I29" i="3"/>
  <c r="I30" i="3" s="1"/>
  <c r="R37" i="3"/>
  <c r="R39" i="3" s="1"/>
  <c r="N19" i="3"/>
  <c r="Q37" i="3"/>
  <c r="Q39" i="3" s="1"/>
  <c r="S37" i="3"/>
  <c r="S39" i="3" s="1"/>
  <c r="P37" i="3"/>
  <c r="P39" i="3" s="1"/>
  <c r="Q19" i="3"/>
  <c r="M37" i="3"/>
  <c r="M39" i="3" s="1"/>
  <c r="M20" i="7"/>
  <c r="M38" i="7"/>
  <c r="M40" i="7" s="1"/>
  <c r="F38" i="7"/>
  <c r="F40" i="7" s="1"/>
  <c r="G38" i="7"/>
  <c r="G40" i="7" s="1"/>
  <c r="G20" i="7"/>
  <c r="Q20" i="7"/>
  <c r="Q38" i="7"/>
  <c r="Q40" i="7" s="1"/>
  <c r="I31" i="4"/>
  <c r="I32" i="4" s="1"/>
  <c r="J39" i="4"/>
  <c r="J41" i="4" s="1"/>
  <c r="Q39" i="4"/>
  <c r="Q41" i="4" s="1"/>
  <c r="G39" i="4"/>
  <c r="G41" i="4" s="1"/>
  <c r="P39" i="4"/>
  <c r="P41" i="4" s="1"/>
  <c r="T39" i="4"/>
  <c r="T41" i="4" s="1"/>
  <c r="H39" i="4"/>
  <c r="H41" i="4" s="1"/>
  <c r="S39" i="4"/>
  <c r="S41" i="4" s="1"/>
  <c r="R36" i="5"/>
  <c r="R38" i="5" s="1"/>
  <c r="K36" i="5"/>
  <c r="K38" i="5" s="1"/>
  <c r="J36" i="5"/>
  <c r="J38" i="5" s="1"/>
  <c r="H36" i="5"/>
  <c r="H38" i="5" s="1"/>
  <c r="N36" i="5"/>
  <c r="N38" i="5" s="1"/>
  <c r="S36" i="5"/>
  <c r="S38" i="5" s="1"/>
  <c r="O36" i="5"/>
  <c r="O38" i="5" s="1"/>
  <c r="P36" i="5"/>
  <c r="P38" i="5" s="1"/>
  <c r="Q16" i="1"/>
  <c r="Q36" i="1"/>
  <c r="Q38" i="1" s="1"/>
  <c r="L36" i="1"/>
  <c r="L38" i="1" s="1"/>
  <c r="G18" i="5"/>
  <c r="G36" i="5"/>
  <c r="G38" i="5" s="1"/>
  <c r="L18" i="5"/>
  <c r="L36" i="5"/>
  <c r="L38" i="5" s="1"/>
  <c r="I36" i="5"/>
  <c r="I38" i="5" s="1"/>
  <c r="I18" i="5"/>
  <c r="F36" i="5"/>
  <c r="F38" i="5" s="1"/>
  <c r="F39" i="4"/>
  <c r="F41" i="4" s="1"/>
  <c r="I20" i="4"/>
  <c r="I39" i="4"/>
  <c r="I41" i="4" s="1"/>
  <c r="I37" i="3"/>
  <c r="I39" i="3" s="1"/>
  <c r="I19" i="3"/>
  <c r="V18" i="3" s="1"/>
  <c r="I16" i="1"/>
  <c r="I36" i="1"/>
  <c r="I38" i="1" s="1"/>
  <c r="I38" i="7" l="1"/>
  <c r="I40" i="7" s="1"/>
  <c r="I21" i="12"/>
  <c r="I39" i="12"/>
  <c r="I41" i="12" s="1"/>
  <c r="I39" i="9"/>
  <c r="I20" i="9"/>
  <c r="I41" i="9"/>
  <c r="X18" i="3"/>
</calcChain>
</file>

<file path=xl/sharedStrings.xml><?xml version="1.0" encoding="utf-8"?>
<sst xmlns="http://schemas.openxmlformats.org/spreadsheetml/2006/main" count="665" uniqueCount="120">
  <si>
    <t>Примерное меню и пищевая ценность приготовляемых блюд</t>
  </si>
  <si>
    <t>понедельник</t>
  </si>
  <si>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</si>
  <si>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</si>
  <si>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</si>
  <si>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</si>
  <si>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</si>
  <si>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</si>
  <si>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</si>
  <si>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</si>
  <si>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</si>
  <si>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</si>
  <si>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</si>
  <si>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</si>
  <si>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</si>
  <si>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</si>
  <si>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</si>
  <si>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</si>
  <si>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</si>
  <si>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</si>
  <si>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</si>
  <si>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</si>
  <si>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</si>
  <si>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 мясной</t>
  </si>
  <si>
    <t>Каша гречневая  рассыпчатая с маслом</t>
  </si>
  <si>
    <t>Итого за Завтрак мясной</t>
  </si>
  <si>
    <t>Завтрак молочный</t>
  </si>
  <si>
    <t>Итого за Завтрак молочный</t>
  </si>
  <si>
    <t>Обед (полноценный рацион питания)</t>
  </si>
  <si>
    <t>Итого за Обед (полноценный рацион питания)</t>
  </si>
  <si>
    <t>Полдник</t>
  </si>
  <si>
    <t>Итого за Полдник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</si>
  <si>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</si>
  <si>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</si>
  <si>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</si>
  <si>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</si>
  <si>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</si>
  <si>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</si>
  <si>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</si>
  <si>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</si>
  <si>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</si>
  <si>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</si>
  <si>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</si>
  <si>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</si>
  <si>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</si>
  <si>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Чай с лимоном</t>
  </si>
  <si>
    <t>Хлеб ржано-пшеничный</t>
  </si>
  <si>
    <t xml:space="preserve">Картофельное пюре с маслом сливочным </t>
  </si>
  <si>
    <t xml:space="preserve">Омлет натуральный с маслом сливочным </t>
  </si>
  <si>
    <t>Компот из быстрозамороженных ягод  (компотная смесь)</t>
  </si>
  <si>
    <t>Плов  с  птицей</t>
  </si>
  <si>
    <t xml:space="preserve">Жаркое по- домашнему </t>
  </si>
  <si>
    <t>Кофейный напиток на молоке</t>
  </si>
  <si>
    <t>Хлеб пшеничный</t>
  </si>
  <si>
    <t>Салат из свеклы с маслом растительным</t>
  </si>
  <si>
    <t xml:space="preserve">Рацион: Школа </t>
  </si>
  <si>
    <t>Рацион: Школа</t>
  </si>
  <si>
    <t>В2</t>
  </si>
  <si>
    <t>ZN</t>
  </si>
  <si>
    <t>I</t>
  </si>
  <si>
    <t xml:space="preserve">I </t>
  </si>
  <si>
    <t>Итого в день</t>
  </si>
  <si>
    <t>% от суточной нормы</t>
  </si>
  <si>
    <t>суточная норма</t>
  </si>
  <si>
    <t xml:space="preserve">Холодная закуска: Овощи порционно / Огурец </t>
  </si>
  <si>
    <t>Приложение 8 к СанПиН 2.3/2.4.3590-20</t>
  </si>
  <si>
    <t>ПР</t>
  </si>
  <si>
    <t>Рекомендуется использование продуктов и сырья по ГОСТам на детскую продукцию для питания детей старше 3-х лет и на специализированное сырье для производства продукции детского питания.</t>
  </si>
  <si>
    <t>среднее ЭЦ  завтраки 1 нед</t>
  </si>
  <si>
    <t>среднее ЭЦ обеды 1 нед</t>
  </si>
  <si>
    <t>среднее ЭЦ полдник 1 нед</t>
  </si>
  <si>
    <t xml:space="preserve">Салат из  свежих помидоров и огурцов с растительным маслом </t>
  </si>
  <si>
    <t>*Итого за Обед (осенний период)</t>
  </si>
  <si>
    <t>*Итого за Завтрак (осенний период)</t>
  </si>
  <si>
    <t>Сыр твердо-мягкий порционно с м.д.ж. 45%</t>
  </si>
  <si>
    <t>Борщ "Сибирский" с фасолью</t>
  </si>
  <si>
    <t>Макаронные изделия отварные с маслом сливочным</t>
  </si>
  <si>
    <t>Зеленый горошек</t>
  </si>
  <si>
    <t>Котлета "Куриная"</t>
  </si>
  <si>
    <t>Винегрет овощной</t>
  </si>
  <si>
    <t>№ рец. по сборнику</t>
  </si>
  <si>
    <t>Салат из капусты с огурцом</t>
  </si>
  <si>
    <t>* 29 ОП</t>
  </si>
  <si>
    <t>ПРИМЕЧАНИЕ  ** могут быть использованы нектары,морсы, напитки сокосодержащие (в т.ч. обогащенные)</t>
  </si>
  <si>
    <t>Салат из белокачанной капусты с морковью</t>
  </si>
  <si>
    <t>Салат "Витаминный" (капуста квашеная, зел. горошек)</t>
  </si>
  <si>
    <t>Бифштекс рубленый "Детский" (в соответствии с ГОСТ Р 55366-2012)</t>
  </si>
  <si>
    <t>Палочки мясные "Детские" запеченые (в соответствии с ГОСТ Р 55366-2012)</t>
  </si>
  <si>
    <t xml:space="preserve">Какао с молоком </t>
  </si>
  <si>
    <t>* 49 ОП</t>
  </si>
  <si>
    <t>Суп картофельный с горохом на м/б</t>
  </si>
  <si>
    <t>Котлета " Школьная" запеченная (в соответствии с ГОСТ Р 55366-2012)</t>
  </si>
  <si>
    <t>Суп картофельный с макаронными изделиями на м/б</t>
  </si>
  <si>
    <t xml:space="preserve">Компот из смеси сухофруктов     </t>
  </si>
  <si>
    <t>Пудинг творожный</t>
  </si>
  <si>
    <t>Сгущенное молоко</t>
  </si>
  <si>
    <t>Борщ со свежей капустой на м/б</t>
  </si>
  <si>
    <t>Лимонный напиток</t>
  </si>
  <si>
    <t xml:space="preserve">Рис отварной с маслом сливочным </t>
  </si>
  <si>
    <t>Рассольник "Ленинградский" на м/б</t>
  </si>
  <si>
    <t>Суп картофельный с рыбными консервами</t>
  </si>
  <si>
    <t>Рагу овощное</t>
  </si>
  <si>
    <t>Птица, порционная  с овощами</t>
  </si>
  <si>
    <t>Суп картофельный (с крупой) на м/б</t>
  </si>
  <si>
    <t>Щи из свежей капусты на м/б</t>
  </si>
  <si>
    <t>Гуляш мясной 90/30</t>
  </si>
  <si>
    <t xml:space="preserve">Фрукт порционно </t>
  </si>
  <si>
    <t>Кондитерское изделие</t>
  </si>
  <si>
    <t>Напиток апельсиновый</t>
  </si>
  <si>
    <t>Салат из свежей капусты   "Молодость"</t>
  </si>
  <si>
    <t xml:space="preserve">Каша рисовая молочная с маслом сливочным </t>
  </si>
  <si>
    <t>Овощи порционно /  огурец</t>
  </si>
  <si>
    <t>Каша манная молочная с маслом сливочным</t>
  </si>
  <si>
    <t>Салат "Витаминный"</t>
  </si>
  <si>
    <t>Молоко ''Авишка''</t>
  </si>
  <si>
    <t>Холодная закуска: Овощи порционно / Огурец  соленый</t>
  </si>
  <si>
    <t xml:space="preserve">Рыба, запеченная с овощами </t>
  </si>
  <si>
    <t>Биточки рыбные</t>
  </si>
  <si>
    <t>7-11 лет /11 и старше</t>
  </si>
  <si>
    <t>ООО "Фабрика сбалансированного питания"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</si>
</sst>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%"/>
  </numFmts>
  <fonts count="14" x14ac:knownFonts="1"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271">
    <xf numFmtId="0" fontId="0" fillId="0" borderId="0" xfId="0"/>
    <xf numFmtId="0" fontId="5" fillId="0" borderId="0" xfId="0" applyFont="1"/>
    <xf numFmtId="0" fontId="5" fillId="4" borderId="0" xfId="0" applyFont="1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 applyAlignment="1">
      <alignment horizontal="left"/>
    </xf>
    <xf numFmtId="1" fontId="5" fillId="4" borderId="0" xfId="0" applyNumberFormat="1" applyFont="1" applyFill="1" applyAlignment="1">
      <alignment horizontal="left"/>
    </xf>
    <xf numFmtId="10" fontId="5" fillId="0" borderId="0" xfId="0" applyNumberFormat="1" applyFont="1"/>
    <xf numFmtId="0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 indent="1"/>
    </xf>
    <xf numFmtId="0" fontId="5" fillId="4" borderId="1" xfId="0" applyNumberFormat="1" applyFont="1" applyFill="1" applyBorder="1" applyAlignment="1">
      <alignment horizontal="right"/>
    </xf>
    <xf numFmtId="0" fontId="4" fillId="4" borderId="1" xfId="0" applyNumberFormat="1" applyFont="1" applyFill="1" applyBorder="1" applyAlignment="1">
      <alignment horizontal="left"/>
    </xf>
    <xf numFmtId="0" fontId="5" fillId="4" borderId="1" xfId="0" applyFont="1" applyFill="1" applyBorder="1"/>
    <xf numFmtId="0" fontId="5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5" fillId="4" borderId="2" xfId="0" applyNumberFormat="1" applyFont="1" applyFill="1" applyBorder="1" applyAlignment="1">
      <alignment horizontal="right"/>
    </xf>
    <xf numFmtId="0" fontId="5" fillId="4" borderId="2" xfId="0" applyFont="1" applyFill="1" applyBorder="1"/>
    <xf numFmtId="0" fontId="5" fillId="4" borderId="2" xfId="0" applyNumberFormat="1" applyFont="1" applyFill="1" applyBorder="1" applyAlignment="1">
      <alignment horizontal="center"/>
    </xf>
    <xf numFmtId="0" fontId="5" fillId="4" borderId="2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left" indent="1"/>
    </xf>
    <xf numFmtId="0" fontId="4" fillId="4" borderId="2" xfId="0" applyNumberFormat="1" applyFont="1" applyFill="1" applyBorder="1" applyAlignment="1">
      <alignment horizontal="left"/>
    </xf>
    <xf numFmtId="2" fontId="4" fillId="4" borderId="2" xfId="0" applyNumberFormat="1" applyFont="1" applyFill="1" applyBorder="1" applyAlignment="1">
      <alignment horizontal="left" indent="1"/>
    </xf>
    <xf numFmtId="0" fontId="0" fillId="4" borderId="2" xfId="0" applyFill="1" applyBorder="1" applyAlignment="1">
      <alignment horizontal="left"/>
    </xf>
    <xf numFmtId="0" fontId="5" fillId="4" borderId="3" xfId="0" applyFont="1" applyFill="1" applyBorder="1"/>
    <xf numFmtId="2" fontId="6" fillId="4" borderId="3" xfId="0" applyNumberFormat="1" applyFont="1" applyFill="1" applyBorder="1" applyAlignment="1">
      <alignment horizontal="center" vertical="top"/>
    </xf>
    <xf numFmtId="0" fontId="5" fillId="4" borderId="1" xfId="0" applyNumberFormat="1" applyFont="1" applyFill="1" applyBorder="1" applyAlignment="1">
      <alignment horizontal="center" vertical="top"/>
    </xf>
    <xf numFmtId="0" fontId="5" fillId="4" borderId="2" xfId="0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center" vertical="top" wrapText="1"/>
    </xf>
    <xf numFmtId="2" fontId="5" fillId="4" borderId="2" xfId="0" applyNumberFormat="1" applyFont="1" applyFill="1" applyBorder="1" applyAlignment="1">
      <alignment horizontal="center" vertical="top" wrapText="1"/>
    </xf>
    <xf numFmtId="2" fontId="5" fillId="4" borderId="0" xfId="0" applyNumberFormat="1" applyFont="1" applyFill="1"/>
    <xf numFmtId="165" fontId="5" fillId="4" borderId="1" xfId="0" applyNumberFormat="1" applyFont="1" applyFill="1" applyBorder="1" applyAlignment="1">
      <alignment horizontal="center" vertical="top"/>
    </xf>
    <xf numFmtId="165" fontId="5" fillId="4" borderId="2" xfId="0" applyNumberFormat="1" applyFont="1" applyFill="1" applyBorder="1" applyAlignment="1">
      <alignment horizontal="center" vertical="top"/>
    </xf>
    <xf numFmtId="1" fontId="5" fillId="4" borderId="3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 vertical="top"/>
    </xf>
    <xf numFmtId="2" fontId="4" fillId="4" borderId="3" xfId="0" applyNumberFormat="1" applyFont="1" applyFill="1" applyBorder="1" applyAlignment="1">
      <alignment horizontal="center" vertical="top"/>
    </xf>
    <xf numFmtId="165" fontId="4" fillId="4" borderId="3" xfId="0" applyNumberFormat="1" applyFont="1" applyFill="1" applyBorder="1" applyAlignment="1">
      <alignment horizontal="center" vertical="top"/>
    </xf>
    <xf numFmtId="2" fontId="4" fillId="4" borderId="1" xfId="0" applyNumberFormat="1" applyFont="1" applyFill="1" applyBorder="1" applyAlignment="1">
      <alignment horizontal="center" vertical="top"/>
    </xf>
    <xf numFmtId="0" fontId="4" fillId="4" borderId="3" xfId="0" applyNumberFormat="1" applyFont="1" applyFill="1" applyBorder="1" applyAlignment="1">
      <alignment horizontal="center" vertical="top"/>
    </xf>
    <xf numFmtId="167" fontId="4" fillId="4" borderId="3" xfId="0" applyNumberFormat="1" applyFont="1" applyFill="1" applyBorder="1" applyAlignment="1">
      <alignment horizontal="center" vertical="top"/>
    </xf>
    <xf numFmtId="9" fontId="4" fillId="4" borderId="3" xfId="0" applyNumberFormat="1" applyFont="1" applyFill="1" applyBorder="1" applyAlignment="1">
      <alignment horizontal="center" vertical="top"/>
    </xf>
    <xf numFmtId="9" fontId="4" fillId="4" borderId="1" xfId="0" applyNumberFormat="1" applyFont="1" applyFill="1" applyBorder="1" applyAlignment="1">
      <alignment horizontal="center" vertical="top"/>
    </xf>
    <xf numFmtId="9" fontId="4" fillId="4" borderId="2" xfId="0" applyNumberFormat="1" applyFont="1" applyFill="1" applyBorder="1" applyAlignment="1">
      <alignment horizontal="center" vertical="top"/>
    </xf>
    <xf numFmtId="1" fontId="4" fillId="4" borderId="3" xfId="0" applyNumberFormat="1" applyFont="1" applyFill="1" applyBorder="1" applyAlignment="1">
      <alignment horizontal="center" vertical="top"/>
    </xf>
    <xf numFmtId="2" fontId="4" fillId="4" borderId="4" xfId="0" applyNumberFormat="1" applyFont="1" applyFill="1" applyBorder="1" applyAlignment="1">
      <alignment horizontal="center" vertical="top"/>
    </xf>
    <xf numFmtId="167" fontId="4" fillId="4" borderId="1" xfId="0" applyNumberFormat="1" applyFont="1" applyFill="1" applyBorder="1" applyAlignment="1">
      <alignment horizontal="center" vertical="top"/>
    </xf>
    <xf numFmtId="167" fontId="4" fillId="4" borderId="2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top"/>
    </xf>
    <xf numFmtId="0" fontId="5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164" fontId="4" fillId="4" borderId="4" xfId="0" applyNumberFormat="1" applyFont="1" applyFill="1" applyBorder="1" applyAlignment="1">
      <alignment horizontal="center" vertical="top"/>
    </xf>
    <xf numFmtId="0" fontId="4" fillId="4" borderId="3" xfId="0" applyFont="1" applyFill="1" applyBorder="1" applyAlignment="1"/>
    <xf numFmtId="0" fontId="4" fillId="4" borderId="5" xfId="0" applyFont="1" applyFill="1" applyBorder="1" applyAlignment="1"/>
    <xf numFmtId="0" fontId="4" fillId="4" borderId="6" xfId="0" applyFont="1" applyFill="1" applyBorder="1" applyAlignment="1"/>
    <xf numFmtId="2" fontId="4" fillId="4" borderId="5" xfId="0" applyNumberFormat="1" applyFont="1" applyFill="1" applyBorder="1" applyAlignment="1"/>
    <xf numFmtId="2" fontId="4" fillId="4" borderId="6" xfId="0" applyNumberFormat="1" applyFont="1" applyFill="1" applyBorder="1" applyAlignment="1"/>
    <xf numFmtId="1" fontId="4" fillId="4" borderId="3" xfId="0" applyNumberFormat="1" applyFont="1" applyFill="1" applyBorder="1" applyAlignment="1"/>
    <xf numFmtId="0" fontId="5" fillId="4" borderId="3" xfId="0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10" fontId="4" fillId="4" borderId="3" xfId="0" applyNumberFormat="1" applyFont="1" applyFill="1" applyBorder="1" applyAlignment="1">
      <alignment horizontal="center" vertical="top"/>
    </xf>
    <xf numFmtId="2" fontId="5" fillId="4" borderId="3" xfId="0" applyNumberFormat="1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top" wrapText="1"/>
    </xf>
    <xf numFmtId="165" fontId="5" fillId="4" borderId="3" xfId="0" applyNumberFormat="1" applyFont="1" applyFill="1" applyBorder="1" applyAlignment="1">
      <alignment horizontal="center" vertical="top" wrapText="1"/>
    </xf>
    <xf numFmtId="1" fontId="5" fillId="4" borderId="3" xfId="0" applyNumberFormat="1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right" vertical="center" indent="1"/>
    </xf>
    <xf numFmtId="1" fontId="8" fillId="4" borderId="3" xfId="0" applyNumberFormat="1" applyFont="1" applyFill="1" applyBorder="1" applyAlignment="1">
      <alignment horizontal="right" vertical="top"/>
    </xf>
    <xf numFmtId="2" fontId="8" fillId="4" borderId="3" xfId="0" applyNumberFormat="1" applyFont="1" applyFill="1" applyBorder="1" applyAlignment="1">
      <alignment horizontal="right" vertical="top"/>
    </xf>
    <xf numFmtId="0" fontId="8" fillId="4" borderId="3" xfId="0" applyNumberFormat="1" applyFont="1" applyFill="1" applyBorder="1" applyAlignment="1">
      <alignment horizontal="right" vertical="top"/>
    </xf>
    <xf numFmtId="164" fontId="8" fillId="4" borderId="3" xfId="0" applyNumberFormat="1" applyFont="1" applyFill="1" applyBorder="1" applyAlignment="1">
      <alignment horizontal="right" vertical="top"/>
    </xf>
    <xf numFmtId="164" fontId="8" fillId="4" borderId="3" xfId="0" applyNumberFormat="1" applyFont="1" applyFill="1" applyBorder="1" applyAlignment="1">
      <alignment horizontal="right" vertical="center" indent="1"/>
    </xf>
    <xf numFmtId="165" fontId="8" fillId="4" borderId="3" xfId="0" applyNumberFormat="1" applyFont="1" applyFill="1" applyBorder="1" applyAlignment="1">
      <alignment horizontal="right" vertical="center" indent="1"/>
    </xf>
    <xf numFmtId="2" fontId="8" fillId="4" borderId="3" xfId="0" applyNumberFormat="1" applyFont="1" applyFill="1" applyBorder="1" applyAlignment="1">
      <alignment horizontal="right" vertical="center" indent="1"/>
    </xf>
    <xf numFmtId="2" fontId="8" fillId="4" borderId="3" xfId="0" applyNumberFormat="1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left"/>
    </xf>
    <xf numFmtId="0" fontId="9" fillId="0" borderId="0" xfId="0" applyFont="1"/>
    <xf numFmtId="0" fontId="11" fillId="4" borderId="0" xfId="0" applyFont="1" applyFill="1" applyAlignment="1">
      <alignment vertical="center"/>
    </xf>
    <xf numFmtId="0" fontId="11" fillId="4" borderId="1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right" vertical="center" indent="1"/>
    </xf>
    <xf numFmtId="2" fontId="5" fillId="4" borderId="3" xfId="0" applyNumberFormat="1" applyFont="1" applyFill="1" applyBorder="1" applyAlignment="1">
      <alignment horizontal="right" vertical="center" inden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/>
    </xf>
    <xf numFmtId="2" fontId="5" fillId="4" borderId="0" xfId="0" applyNumberFormat="1" applyFont="1" applyFill="1" applyAlignment="1">
      <alignment horizontal="left"/>
    </xf>
    <xf numFmtId="2" fontId="0" fillId="4" borderId="0" xfId="0" applyNumberFormat="1" applyFill="1"/>
    <xf numFmtId="2" fontId="11" fillId="4" borderId="0" xfId="0" applyNumberFormat="1" applyFont="1" applyFill="1" applyAlignment="1">
      <alignment vertical="center"/>
    </xf>
    <xf numFmtId="2" fontId="0" fillId="4" borderId="0" xfId="0" applyNumberFormat="1" applyFill="1" applyAlignment="1">
      <alignment horizontal="left"/>
    </xf>
    <xf numFmtId="165" fontId="8" fillId="4" borderId="3" xfId="0" applyNumberFormat="1" applyFont="1" applyFill="1" applyBorder="1" applyAlignment="1">
      <alignment horizontal="right" vertical="top"/>
    </xf>
    <xf numFmtId="165" fontId="5" fillId="4" borderId="3" xfId="0" applyNumberFormat="1" applyFont="1" applyFill="1" applyBorder="1" applyAlignment="1">
      <alignment horizontal="right" vertical="center" indent="1"/>
    </xf>
    <xf numFmtId="1" fontId="4" fillId="4" borderId="7" xfId="0" applyNumberFormat="1" applyFont="1" applyFill="1" applyBorder="1" applyAlignment="1"/>
    <xf numFmtId="0" fontId="5" fillId="4" borderId="2" xfId="0" applyNumberFormat="1" applyFont="1" applyFill="1" applyBorder="1" applyAlignment="1">
      <alignment horizontal="center" wrapText="1"/>
    </xf>
    <xf numFmtId="3" fontId="5" fillId="4" borderId="3" xfId="0" applyNumberFormat="1" applyFont="1" applyFill="1" applyBorder="1" applyAlignment="1">
      <alignment horizontal="center" vertical="center"/>
    </xf>
    <xf numFmtId="10" fontId="4" fillId="4" borderId="3" xfId="7" applyNumberFormat="1" applyFont="1" applyFill="1" applyBorder="1"/>
    <xf numFmtId="167" fontId="4" fillId="4" borderId="3" xfId="7" applyNumberFormat="1" applyFont="1" applyFill="1" applyBorder="1"/>
    <xf numFmtId="2" fontId="4" fillId="4" borderId="3" xfId="7" applyNumberFormat="1" applyFont="1" applyFill="1" applyBorder="1"/>
    <xf numFmtId="167" fontId="4" fillId="4" borderId="4" xfId="7" applyNumberFormat="1" applyFont="1" applyFill="1" applyBorder="1"/>
    <xf numFmtId="167" fontId="4" fillId="4" borderId="0" xfId="7" applyNumberFormat="1" applyFont="1" applyFill="1"/>
    <xf numFmtId="0" fontId="4" fillId="4" borderId="0" xfId="0" applyFont="1" applyFill="1" applyBorder="1" applyAlignment="1">
      <alignment horizontal="left"/>
    </xf>
    <xf numFmtId="2" fontId="5" fillId="3" borderId="10" xfId="1" applyNumberFormat="1" applyFont="1" applyFill="1" applyBorder="1" applyAlignment="1">
      <alignment horizontal="center" vertical="top"/>
    </xf>
    <xf numFmtId="0" fontId="0" fillId="3" borderId="0" xfId="0" applyFont="1" applyFill="1"/>
    <xf numFmtId="2" fontId="0" fillId="5" borderId="10" xfId="0" applyNumberFormat="1" applyFont="1" applyFill="1" applyBorder="1" applyAlignment="1">
      <alignment horizontal="center" vertical="top"/>
    </xf>
    <xf numFmtId="1" fontId="0" fillId="3" borderId="10" xfId="0" applyNumberFormat="1" applyFont="1" applyFill="1" applyBorder="1" applyAlignment="1">
      <alignment horizontal="center" vertical="top"/>
    </xf>
    <xf numFmtId="0" fontId="0" fillId="3" borderId="10" xfId="0" applyNumberFormat="1" applyFont="1" applyFill="1" applyBorder="1" applyAlignment="1">
      <alignment horizontal="center" vertical="center"/>
    </xf>
    <xf numFmtId="1" fontId="5" fillId="3" borderId="10" xfId="1" applyNumberFormat="1" applyFont="1" applyFill="1" applyBorder="1" applyAlignment="1">
      <alignment horizontal="center" vertical="center"/>
    </xf>
    <xf numFmtId="0" fontId="5" fillId="3" borderId="10" xfId="1" applyNumberFormat="1" applyFont="1" applyFill="1" applyBorder="1" applyAlignment="1">
      <alignment horizontal="center" vertical="top"/>
    </xf>
    <xf numFmtId="1" fontId="0" fillId="3" borderId="10" xfId="0" applyNumberFormat="1" applyFont="1" applyFill="1" applyBorder="1" applyAlignment="1">
      <alignment horizontal="center" vertical="center"/>
    </xf>
    <xf numFmtId="2" fontId="0" fillId="3" borderId="10" xfId="1" applyNumberFormat="1" applyFont="1" applyFill="1" applyBorder="1" applyAlignment="1">
      <alignment horizontal="center" vertical="top"/>
    </xf>
    <xf numFmtId="1" fontId="5" fillId="3" borderId="10" xfId="1" applyNumberFormat="1" applyFont="1" applyFill="1" applyBorder="1" applyAlignment="1">
      <alignment horizontal="center" vertical="top"/>
    </xf>
    <xf numFmtId="2" fontId="4" fillId="4" borderId="7" xfId="0" applyNumberFormat="1" applyFont="1" applyFill="1" applyBorder="1" applyAlignment="1"/>
    <xf numFmtId="2" fontId="5" fillId="0" borderId="0" xfId="0" applyNumberFormat="1" applyFont="1"/>
    <xf numFmtId="0" fontId="5" fillId="4" borderId="0" xfId="0" applyFont="1" applyFill="1"/>
    <xf numFmtId="2" fontId="5" fillId="4" borderId="0" xfId="0" applyNumberFormat="1" applyFont="1" applyFill="1"/>
    <xf numFmtId="2" fontId="4" fillId="4" borderId="2" xfId="0" applyNumberFormat="1" applyFont="1" applyFill="1" applyBorder="1" applyAlignment="1">
      <alignment horizontal="center" vertical="top"/>
    </xf>
    <xf numFmtId="164" fontId="4" fillId="4" borderId="2" xfId="0" applyNumberFormat="1" applyFont="1" applyFill="1" applyBorder="1" applyAlignment="1">
      <alignment horizontal="center" vertical="top"/>
    </xf>
    <xf numFmtId="164" fontId="4" fillId="4" borderId="1" xfId="0" applyNumberFormat="1" applyFont="1" applyFill="1" applyBorder="1" applyAlignment="1">
      <alignment horizontal="center" vertical="top"/>
    </xf>
    <xf numFmtId="0" fontId="5" fillId="4" borderId="3" xfId="0" applyNumberFormat="1" applyFont="1" applyFill="1" applyBorder="1" applyAlignment="1">
      <alignment horizontal="center" vertical="top"/>
    </xf>
    <xf numFmtId="164" fontId="5" fillId="4" borderId="3" xfId="0" applyNumberFormat="1" applyFont="1" applyFill="1" applyBorder="1" applyAlignment="1">
      <alignment horizontal="center" vertical="top"/>
    </xf>
    <xf numFmtId="1" fontId="5" fillId="4" borderId="3" xfId="0" applyNumberFormat="1" applyFont="1" applyFill="1" applyBorder="1" applyAlignment="1">
      <alignment horizontal="center" vertical="top"/>
    </xf>
    <xf numFmtId="2" fontId="5" fillId="4" borderId="3" xfId="0" applyNumberFormat="1" applyFont="1" applyFill="1" applyBorder="1" applyAlignment="1">
      <alignment horizontal="center" vertical="top"/>
    </xf>
    <xf numFmtId="165" fontId="5" fillId="4" borderId="3" xfId="0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center" vertical="top"/>
    </xf>
    <xf numFmtId="2" fontId="5" fillId="4" borderId="2" xfId="0" applyNumberFormat="1" applyFont="1" applyFill="1" applyBorder="1" applyAlignment="1">
      <alignment horizontal="center" vertical="top"/>
    </xf>
    <xf numFmtId="166" fontId="5" fillId="4" borderId="3" xfId="0" applyNumberFormat="1" applyFont="1" applyFill="1" applyBorder="1" applyAlignment="1">
      <alignment horizontal="center" vertical="top"/>
    </xf>
    <xf numFmtId="0" fontId="5" fillId="4" borderId="3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/>
    <xf numFmtId="10" fontId="4" fillId="4" borderId="6" xfId="0" applyNumberFormat="1" applyFont="1" applyFill="1" applyBorder="1" applyAlignment="1">
      <alignment horizontal="center" vertical="top"/>
    </xf>
    <xf numFmtId="10" fontId="4" fillId="4" borderId="0" xfId="7" applyNumberFormat="1" applyFont="1" applyFill="1"/>
    <xf numFmtId="2" fontId="4" fillId="6" borderId="7" xfId="0" applyNumberFormat="1" applyFont="1" applyFill="1" applyBorder="1" applyAlignment="1">
      <alignment horizontal="left"/>
    </xf>
    <xf numFmtId="2" fontId="5" fillId="0" borderId="10" xfId="1" applyNumberFormat="1" applyFont="1" applyFill="1" applyBorder="1" applyAlignment="1">
      <alignment horizontal="center" vertical="top"/>
    </xf>
    <xf numFmtId="1" fontId="5" fillId="0" borderId="10" xfId="1" applyNumberFormat="1" applyFont="1" applyFill="1" applyBorder="1" applyAlignment="1">
      <alignment horizontal="center" vertical="center"/>
    </xf>
    <xf numFmtId="1" fontId="5" fillId="0" borderId="10" xfId="1" applyNumberFormat="1" applyFont="1" applyFill="1" applyBorder="1" applyAlignment="1">
      <alignment horizontal="center" vertical="top"/>
    </xf>
    <xf numFmtId="0" fontId="4" fillId="6" borderId="6" xfId="0" applyFont="1" applyFill="1" applyBorder="1" applyAlignment="1">
      <alignment horizontal="left"/>
    </xf>
    <xf numFmtId="167" fontId="4" fillId="4" borderId="6" xfId="7" applyNumberFormat="1" applyFont="1" applyFill="1" applyBorder="1"/>
    <xf numFmtId="167" fontId="4" fillId="4" borderId="7" xfId="7" applyNumberFormat="1" applyFont="1" applyFill="1" applyBorder="1"/>
    <xf numFmtId="2" fontId="4" fillId="6" borderId="0" xfId="0" applyNumberFormat="1" applyFont="1" applyFill="1" applyBorder="1" applyAlignment="1">
      <alignment horizontal="left"/>
    </xf>
    <xf numFmtId="167" fontId="4" fillId="4" borderId="6" xfId="0" applyNumberFormat="1" applyFont="1" applyFill="1" applyBorder="1" applyAlignment="1">
      <alignment horizontal="center" vertical="top"/>
    </xf>
    <xf numFmtId="167" fontId="4" fillId="4" borderId="7" xfId="0" applyNumberFormat="1" applyFont="1" applyFill="1" applyBorder="1" applyAlignment="1">
      <alignment horizontal="center" vertical="top"/>
    </xf>
    <xf numFmtId="2" fontId="4" fillId="4" borderId="6" xfId="0" applyNumberFormat="1" applyFont="1" applyFill="1" applyBorder="1" applyAlignment="1">
      <alignment horizontal="left"/>
    </xf>
    <xf numFmtId="2" fontId="4" fillId="6" borderId="6" xfId="0" applyNumberFormat="1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5" fillId="4" borderId="8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top" wrapText="1"/>
    </xf>
    <xf numFmtId="10" fontId="4" fillId="4" borderId="5" xfId="0" applyNumberFormat="1" applyFont="1" applyFill="1" applyBorder="1" applyAlignment="1">
      <alignment horizontal="left"/>
    </xf>
    <xf numFmtId="10" fontId="4" fillId="4" borderId="6" xfId="0" applyNumberFormat="1" applyFont="1" applyFill="1" applyBorder="1" applyAlignment="1">
      <alignment horizontal="left"/>
    </xf>
    <xf numFmtId="10" fontId="4" fillId="4" borderId="7" xfId="0" applyNumberFormat="1" applyFont="1" applyFill="1" applyBorder="1" applyAlignment="1">
      <alignment horizontal="left"/>
    </xf>
    <xf numFmtId="1" fontId="5" fillId="4" borderId="3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1" fontId="13" fillId="2" borderId="3" xfId="1" applyNumberFormat="1" applyFont="1" applyFill="1" applyBorder="1" applyAlignment="1">
      <alignment horizontal="center" vertical="center"/>
    </xf>
    <xf numFmtId="1" fontId="5" fillId="2" borderId="3" xfId="1" applyNumberFormat="1" applyFont="1" applyFill="1" applyBorder="1" applyAlignment="1">
      <alignment horizontal="center" vertical="top"/>
    </xf>
    <xf numFmtId="2" fontId="5" fillId="2" borderId="3" xfId="1" applyNumberFormat="1" applyFont="1" applyFill="1" applyBorder="1" applyAlignment="1">
      <alignment horizontal="center" vertical="top"/>
    </xf>
    <xf numFmtId="0" fontId="5" fillId="2" borderId="3" xfId="1" applyNumberFormat="1" applyFont="1" applyFill="1" applyBorder="1" applyAlignment="1">
      <alignment horizontal="center" vertical="top"/>
    </xf>
    <xf numFmtId="164" fontId="5" fillId="2" borderId="3" xfId="1" applyNumberFormat="1" applyFont="1" applyFill="1" applyBorder="1" applyAlignment="1">
      <alignment horizontal="center" vertical="top"/>
    </xf>
    <xf numFmtId="165" fontId="5" fillId="2" borderId="3" xfId="1" applyNumberFormat="1" applyFont="1" applyFill="1" applyBorder="1" applyAlignment="1">
      <alignment horizontal="center" vertical="top"/>
    </xf>
    <xf numFmtId="1" fontId="8" fillId="4" borderId="3" xfId="0" applyNumberFormat="1" applyFont="1" applyFill="1" applyBorder="1" applyAlignment="1">
      <alignment horizontal="center" vertical="top"/>
    </xf>
    <xf numFmtId="165" fontId="0" fillId="3" borderId="10" xfId="0" applyNumberFormat="1" applyFont="1" applyFill="1" applyBorder="1" applyAlignment="1">
      <alignment horizontal="center" vertical="top"/>
    </xf>
    <xf numFmtId="0" fontId="0" fillId="3" borderId="10" xfId="0" applyNumberFormat="1" applyFont="1" applyFill="1" applyBorder="1" applyAlignment="1">
      <alignment horizontal="center" vertical="top"/>
    </xf>
    <xf numFmtId="164" fontId="0" fillId="3" borderId="10" xfId="0" applyNumberFormat="1" applyFont="1" applyFill="1" applyBorder="1" applyAlignment="1">
      <alignment horizontal="center" vertical="top"/>
    </xf>
    <xf numFmtId="0" fontId="0" fillId="0" borderId="0" xfId="0" applyFont="1"/>
    <xf numFmtId="0" fontId="0" fillId="3" borderId="10" xfId="1" applyNumberFormat="1" applyFont="1" applyFill="1" applyBorder="1" applyAlignment="1">
      <alignment horizontal="center" vertical="center"/>
    </xf>
    <xf numFmtId="1" fontId="0" fillId="3" borderId="10" xfId="1" applyNumberFormat="1" applyFont="1" applyFill="1" applyBorder="1" applyAlignment="1">
      <alignment horizontal="center" vertical="top"/>
    </xf>
    <xf numFmtId="1" fontId="0" fillId="3" borderId="10" xfId="1" applyNumberFormat="1" applyFont="1" applyFill="1" applyBorder="1" applyAlignment="1">
      <alignment horizontal="center" vertical="center"/>
    </xf>
    <xf numFmtId="0" fontId="0" fillId="3" borderId="10" xfId="1" applyNumberFormat="1" applyFont="1" applyFill="1" applyBorder="1" applyAlignment="1">
      <alignment horizontal="center" vertical="top"/>
    </xf>
    <xf numFmtId="2" fontId="4" fillId="3" borderId="11" xfId="0" applyNumberFormat="1" applyFont="1" applyFill="1" applyBorder="1" applyAlignment="1"/>
    <xf numFmtId="2" fontId="0" fillId="3" borderId="10" xfId="1" applyNumberFormat="1" applyFont="1" applyFill="1" applyBorder="1" applyAlignment="1">
      <alignment horizontal="center" vertical="center"/>
    </xf>
    <xf numFmtId="0" fontId="5" fillId="3" borderId="10" xfId="1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/>
    <xf numFmtId="2" fontId="4" fillId="3" borderId="12" xfId="0" applyNumberFormat="1" applyFont="1" applyFill="1" applyBorder="1" applyAlignment="1"/>
    <xf numFmtId="3" fontId="0" fillId="3" borderId="10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wrapText="1"/>
    </xf>
    <xf numFmtId="0" fontId="3" fillId="4" borderId="0" xfId="0" applyNumberFormat="1" applyFont="1" applyFill="1" applyAlignment="1">
      <alignment horizontal="center"/>
    </xf>
    <xf numFmtId="0" fontId="5" fillId="4" borderId="0" xfId="0" applyNumberFormat="1" applyFont="1" applyFill="1" applyAlignment="1">
      <alignment horizontal="right"/>
    </xf>
    <xf numFmtId="0" fontId="4" fillId="4" borderId="0" xfId="0" applyNumberFormat="1" applyFont="1" applyFill="1" applyAlignment="1">
      <alignment horizontal="right"/>
    </xf>
    <xf numFmtId="10" fontId="4" fillId="4" borderId="5" xfId="0" applyNumberFormat="1" applyFont="1" applyFill="1" applyBorder="1" applyAlignment="1">
      <alignment horizontal="left"/>
    </xf>
    <xf numFmtId="10" fontId="4" fillId="4" borderId="6" xfId="0" applyNumberFormat="1" applyFont="1" applyFill="1" applyBorder="1" applyAlignment="1">
      <alignment horizontal="left"/>
    </xf>
    <xf numFmtId="10" fontId="4" fillId="4" borderId="7" xfId="0" applyNumberFormat="1" applyFont="1" applyFill="1" applyBorder="1" applyAlignment="1">
      <alignment horizontal="left"/>
    </xf>
    <xf numFmtId="0" fontId="5" fillId="4" borderId="4" xfId="0" applyNumberFormat="1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5" fillId="4" borderId="2" xfId="0" applyNumberFormat="1" applyFont="1" applyFill="1" applyBorder="1" applyAlignment="1">
      <alignment horizontal="center" wrapText="1"/>
    </xf>
    <xf numFmtId="0" fontId="3" fillId="4" borderId="0" xfId="0" applyNumberFormat="1" applyFont="1" applyFill="1" applyAlignment="1">
      <alignment horizontal="center"/>
    </xf>
    <xf numFmtId="0" fontId="5" fillId="4" borderId="9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top" wrapText="1"/>
    </xf>
    <xf numFmtId="2" fontId="0" fillId="3" borderId="10" xfId="1" applyNumberFormat="1" applyFont="1" applyFill="1" applyBorder="1" applyAlignment="1">
      <alignment horizontal="left" vertical="center" wrapText="1"/>
    </xf>
    <xf numFmtId="0" fontId="4" fillId="4" borderId="0" xfId="0" applyNumberFormat="1" applyFont="1" applyFill="1" applyAlignment="1">
      <alignment horizontal="right"/>
    </xf>
    <xf numFmtId="0" fontId="5" fillId="4" borderId="2" xfId="0" applyNumberFormat="1" applyFont="1" applyFill="1" applyBorder="1" applyAlignment="1">
      <alignment horizont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0" fontId="5" fillId="4" borderId="6" xfId="0" applyNumberFormat="1" applyFont="1" applyFill="1" applyBorder="1" applyAlignment="1">
      <alignment horizontal="center" vertical="center" wrapText="1"/>
    </xf>
    <xf numFmtId="0" fontId="5" fillId="4" borderId="7" xfId="0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 applyAlignment="1">
      <alignment horizontal="right"/>
    </xf>
    <xf numFmtId="0" fontId="3" fillId="4" borderId="0" xfId="0" applyNumberFormat="1" applyFont="1" applyFill="1" applyAlignment="1">
      <alignment horizontal="center"/>
    </xf>
    <xf numFmtId="0" fontId="5" fillId="4" borderId="0" xfId="0" applyNumberFormat="1" applyFont="1" applyFill="1" applyAlignment="1">
      <alignment horizontal="center"/>
    </xf>
    <xf numFmtId="0" fontId="5" fillId="4" borderId="9" xfId="0" applyNumberFormat="1" applyFont="1" applyFill="1" applyBorder="1" applyAlignment="1">
      <alignment horizontal="center" vertical="center" wrapText="1"/>
    </xf>
    <xf numFmtId="0" fontId="5" fillId="4" borderId="15" xfId="0" applyNumberFormat="1" applyFont="1" applyFill="1" applyBorder="1" applyAlignment="1">
      <alignment horizontal="center" vertical="center" wrapText="1"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17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wrapText="1"/>
    </xf>
    <xf numFmtId="0" fontId="4" fillId="4" borderId="2" xfId="0" applyNumberFormat="1" applyFont="1" applyFill="1" applyBorder="1" applyAlignment="1">
      <alignment horizontal="center" wrapText="1"/>
    </xf>
    <xf numFmtId="0" fontId="4" fillId="4" borderId="8" xfId="0" applyNumberFormat="1" applyFont="1" applyFill="1" applyBorder="1" applyAlignment="1">
      <alignment horizontal="center" wrapText="1"/>
    </xf>
    <xf numFmtId="0" fontId="5" fillId="4" borderId="8" xfId="0" applyNumberFormat="1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left" vertical="center" wrapText="1"/>
    </xf>
    <xf numFmtId="10" fontId="4" fillId="4" borderId="5" xfId="0" applyNumberFormat="1" applyFont="1" applyFill="1" applyBorder="1" applyAlignment="1">
      <alignment horizontal="left"/>
    </xf>
    <xf numFmtId="10" fontId="4" fillId="4" borderId="6" xfId="0" applyNumberFormat="1" applyFont="1" applyFill="1" applyBorder="1" applyAlignment="1">
      <alignment horizontal="left"/>
    </xf>
    <xf numFmtId="10" fontId="4" fillId="4" borderId="7" xfId="0" applyNumberFormat="1" applyFont="1" applyFill="1" applyBorder="1" applyAlignment="1">
      <alignment horizontal="left"/>
    </xf>
    <xf numFmtId="0" fontId="5" fillId="3" borderId="14" xfId="1" applyNumberFormat="1" applyFont="1" applyFill="1" applyBorder="1" applyAlignment="1">
      <alignment horizontal="left" vertical="center" wrapText="1"/>
    </xf>
    <xf numFmtId="0" fontId="5" fillId="3" borderId="11" xfId="1" applyNumberFormat="1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4" borderId="7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left" indent="1"/>
    </xf>
    <xf numFmtId="0" fontId="4" fillId="4" borderId="6" xfId="0" applyFont="1" applyFill="1" applyBorder="1" applyAlignment="1">
      <alignment horizontal="left" indent="1"/>
    </xf>
    <xf numFmtId="0" fontId="4" fillId="4" borderId="7" xfId="0" applyFont="1" applyFill="1" applyBorder="1" applyAlignment="1">
      <alignment horizontal="left" indent="1"/>
    </xf>
    <xf numFmtId="0" fontId="5" fillId="3" borderId="10" xfId="1" applyNumberFormat="1" applyFont="1" applyFill="1" applyBorder="1" applyAlignment="1">
      <alignment horizontal="left" vertical="center" wrapText="1"/>
    </xf>
    <xf numFmtId="0" fontId="5" fillId="4" borderId="5" xfId="0" applyNumberFormat="1" applyFont="1" applyFill="1" applyBorder="1" applyAlignment="1">
      <alignment horizontal="left" vertical="center" wrapText="1"/>
    </xf>
    <xf numFmtId="0" fontId="5" fillId="4" borderId="7" xfId="0" applyNumberFormat="1" applyFont="1" applyFill="1" applyBorder="1" applyAlignment="1">
      <alignment horizontal="left" vertical="center" wrapText="1"/>
    </xf>
    <xf numFmtId="1" fontId="5" fillId="4" borderId="5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0" fillId="3" borderId="10" xfId="0" applyNumberFormat="1" applyFont="1" applyFill="1" applyBorder="1" applyAlignment="1">
      <alignment horizontal="left" vertical="center" wrapText="1"/>
    </xf>
    <xf numFmtId="0" fontId="0" fillId="3" borderId="10" xfId="1" applyNumberFormat="1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/>
    </xf>
    <xf numFmtId="0" fontId="5" fillId="4" borderId="5" xfId="1" applyNumberFormat="1" applyFont="1" applyFill="1" applyBorder="1" applyAlignment="1">
      <alignment horizontal="left" vertical="center" wrapText="1"/>
    </xf>
    <xf numFmtId="0" fontId="5" fillId="2" borderId="7" xfId="1" applyNumberFormat="1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right" vertical="center" wrapText="1"/>
    </xf>
    <xf numFmtId="2" fontId="4" fillId="4" borderId="5" xfId="0" applyNumberFormat="1" applyFont="1" applyFill="1" applyBorder="1" applyAlignment="1">
      <alignment horizontal="left" indent="1"/>
    </xf>
    <xf numFmtId="2" fontId="4" fillId="4" borderId="6" xfId="0" applyNumberFormat="1" applyFont="1" applyFill="1" applyBorder="1" applyAlignment="1">
      <alignment horizontal="left" indent="1"/>
    </xf>
    <xf numFmtId="2" fontId="4" fillId="4" borderId="7" xfId="0" applyNumberFormat="1" applyFont="1" applyFill="1" applyBorder="1" applyAlignment="1">
      <alignment horizontal="left" indent="1"/>
    </xf>
    <xf numFmtId="2" fontId="0" fillId="3" borderId="14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4" borderId="0" xfId="0" applyNumberFormat="1" applyFont="1" applyFill="1" applyAlignment="1">
      <alignment horizontal="left"/>
    </xf>
    <xf numFmtId="0" fontId="5" fillId="2" borderId="6" xfId="1" applyNumberFormat="1" applyFont="1" applyFill="1" applyBorder="1" applyAlignment="1">
      <alignment horizontal="left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right"/>
    </xf>
    <xf numFmtId="0" fontId="10" fillId="4" borderId="0" xfId="0" applyFont="1" applyFill="1" applyAlignment="1">
      <alignment horizontal="left" vertical="center" wrapText="1"/>
    </xf>
    <xf numFmtId="0" fontId="4" fillId="4" borderId="3" xfId="0" applyFont="1" applyFill="1" applyBorder="1" applyAlignment="1">
      <alignment horizontal="left" indent="1"/>
    </xf>
    <xf numFmtId="2" fontId="5" fillId="4" borderId="5" xfId="0" applyNumberFormat="1" applyFont="1" applyFill="1" applyBorder="1" applyAlignment="1">
      <alignment horizontal="left" vertical="center" wrapText="1"/>
    </xf>
    <xf numFmtId="2" fontId="5" fillId="4" borderId="7" xfId="0" applyNumberFormat="1" applyFont="1" applyFill="1" applyBorder="1" applyAlignment="1">
      <alignment horizontal="left" vertical="center" wrapText="1"/>
    </xf>
    <xf numFmtId="2" fontId="5" fillId="4" borderId="3" xfId="0" applyNumberFormat="1" applyFont="1" applyFill="1" applyBorder="1" applyAlignment="1">
      <alignment horizontal="center" vertical="top" wrapText="1"/>
    </xf>
    <xf numFmtId="0" fontId="0" fillId="3" borderId="14" xfId="0" applyNumberFormat="1" applyFont="1" applyFill="1" applyBorder="1" applyAlignment="1">
      <alignment horizontal="left" vertical="center" wrapText="1"/>
    </xf>
    <xf numFmtId="0" fontId="0" fillId="3" borderId="11" xfId="0" applyNumberFormat="1" applyFont="1" applyFill="1" applyBorder="1" applyAlignment="1">
      <alignment horizontal="left" vertical="center" wrapText="1"/>
    </xf>
    <xf numFmtId="0" fontId="0" fillId="3" borderId="21" xfId="1" applyNumberFormat="1" applyFont="1" applyFill="1" applyBorder="1" applyAlignment="1">
      <alignment horizontal="left" vertical="center" wrapText="1"/>
    </xf>
    <xf numFmtId="0" fontId="0" fillId="3" borderId="22" xfId="1" applyNumberFormat="1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indent="1"/>
    </xf>
    <xf numFmtId="0" fontId="4" fillId="4" borderId="20" xfId="0" applyFont="1" applyFill="1" applyBorder="1" applyAlignment="1">
      <alignment horizontal="left" indent="1"/>
    </xf>
    <xf numFmtId="0" fontId="4" fillId="4" borderId="19" xfId="0" applyFont="1" applyFill="1" applyBorder="1" applyAlignment="1">
      <alignment horizontal="left" indent="1"/>
    </xf>
    <xf numFmtId="0" fontId="5" fillId="4" borderId="5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18" xfId="0" applyNumberFormat="1" applyFont="1" applyFill="1" applyBorder="1" applyAlignment="1">
      <alignment horizontal="left" vertical="center" wrapText="1"/>
    </xf>
    <xf numFmtId="0" fontId="5" fillId="4" borderId="19" xfId="0" applyNumberFormat="1" applyFont="1" applyFill="1" applyBorder="1" applyAlignment="1">
      <alignment horizontal="left" vertical="center" wrapText="1"/>
    </xf>
    <xf numFmtId="0" fontId="5" fillId="0" borderId="10" xfId="1" applyNumberFormat="1" applyFont="1" applyFill="1" applyBorder="1" applyAlignment="1">
      <alignment horizontal="left" vertical="center" wrapText="1"/>
    </xf>
  </cellXfs>
  <cellStyles count="12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Процентный" xfId="7" builtinId="5"/>
    <cellStyle name="Процентный 2" xfId="8"/>
    <cellStyle name="Процентный 3" xfId="9"/>
    <cellStyle name="Процентный 4" xfId="10"/>
    <cellStyle name="Процентный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X39"/>
  <sheetViews>
    <sheetView view="pageBreakPreview" zoomScale="80" zoomScaleNormal="80" zoomScaleSheetLayoutView="80" workbookViewId="0">
      <selection activeCell="F49" sqref="F49"/>
    </sheetView>
  </sheetViews>
  <sheetFormatPr defaultRowHeight="11.25" x14ac:dyDescent="0.2"/>
  <cols>
    <col min="1" max="1" width="9.5" style="53" customWidth="1"/>
    <col min="2" max="2" width="16.33203125" style="53" customWidth="1"/>
    <col min="3" max="3" width="25.1640625" style="53" customWidth="1"/>
    <col min="4" max="4" width="8" style="4" customWidth="1"/>
    <col min="5" max="5" width="9.6640625" style="4" customWidth="1"/>
    <col min="6" max="6" width="9.83203125" style="94" customWidth="1"/>
    <col min="7" max="7" width="9.6640625" style="4" customWidth="1"/>
    <col min="8" max="8" width="8.5" style="4" customWidth="1"/>
    <col min="9" max="9" width="10" style="4" customWidth="1"/>
    <col min="10" max="10" width="9" style="4" customWidth="1"/>
    <col min="11" max="11" width="9.83203125" style="4" customWidth="1"/>
    <col min="12" max="12" width="8.83203125" style="4" customWidth="1"/>
    <col min="13" max="13" width="10.33203125" style="4" customWidth="1"/>
    <col min="14" max="14" width="9.5" style="4" customWidth="1"/>
    <col min="15" max="15" width="9.33203125" style="4" customWidth="1"/>
    <col min="16" max="17" width="9.1640625" style="4" customWidth="1"/>
    <col min="18" max="18" width="9" style="4" customWidth="1"/>
    <col min="19" max="19" width="9.5" style="4" customWidth="1"/>
    <col min="20" max="20" width="8.6640625" style="4" customWidth="1"/>
    <col min="21" max="21" width="9.1640625" style="17" customWidth="1"/>
    <col min="22" max="23" width="9.1640625" style="26" customWidth="1"/>
    <col min="24" max="24" width="11.6640625" style="26" customWidth="1"/>
  </cols>
  <sheetData>
    <row r="1" spans="1:24" s="1" customFormat="1" ht="11.25" customHeight="1" x14ac:dyDescent="0.2">
      <c r="A1" s="54"/>
      <c r="B1" s="51"/>
      <c r="C1" s="51"/>
      <c r="D1" s="65"/>
      <c r="E1" s="65"/>
      <c r="F1" s="33"/>
      <c r="G1" s="65"/>
      <c r="H1" s="65"/>
      <c r="I1" s="65"/>
      <c r="J1" s="65"/>
      <c r="K1" s="65"/>
      <c r="L1" s="2"/>
      <c r="M1" s="206" t="s">
        <v>65</v>
      </c>
      <c r="N1" s="206"/>
      <c r="O1" s="206"/>
      <c r="P1" s="206"/>
      <c r="Q1" s="206"/>
      <c r="R1" s="206"/>
      <c r="S1" s="206"/>
      <c r="T1" s="206"/>
      <c r="U1" s="213"/>
      <c r="V1" s="202"/>
      <c r="W1" s="98"/>
      <c r="X1" s="202"/>
    </row>
    <row r="2" spans="1:24" s="1" customFormat="1" ht="15.75" customHeight="1" x14ac:dyDescent="0.25">
      <c r="A2" s="207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14"/>
      <c r="V2" s="202"/>
      <c r="W2" s="98"/>
      <c r="X2" s="202"/>
    </row>
    <row r="3" spans="1:24" s="1" customFormat="1" ht="15.75" customHeight="1" x14ac:dyDescent="0.25">
      <c r="A3" s="183"/>
      <c r="B3" s="183"/>
      <c r="C3" s="183"/>
      <c r="D3" s="183"/>
      <c r="E3" s="183"/>
      <c r="F3" s="183"/>
      <c r="G3" s="183"/>
      <c r="H3" s="183" t="s">
        <v>119</v>
      </c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214"/>
      <c r="V3" s="202"/>
      <c r="W3" s="182"/>
      <c r="X3" s="202"/>
    </row>
    <row r="4" spans="1:24" s="1" customFormat="1" ht="11.25" customHeight="1" x14ac:dyDescent="0.2">
      <c r="A4" s="55" t="s">
        <v>55</v>
      </c>
      <c r="B4" s="51"/>
      <c r="C4" s="51"/>
      <c r="D4" s="2"/>
      <c r="E4" s="2"/>
      <c r="F4" s="33"/>
      <c r="G4" s="208" t="s">
        <v>1</v>
      </c>
      <c r="H4" s="208"/>
      <c r="I4" s="208"/>
      <c r="J4" s="65"/>
      <c r="K4" s="65"/>
      <c r="L4" s="201" t="s">
        <v>2</v>
      </c>
      <c r="M4" s="201"/>
      <c r="N4" s="240"/>
      <c r="O4" s="240"/>
      <c r="P4" s="240"/>
      <c r="Q4" s="240"/>
      <c r="R4" s="65"/>
      <c r="S4" s="65"/>
      <c r="T4" s="65"/>
      <c r="U4" s="214"/>
      <c r="V4" s="202"/>
      <c r="W4" s="98"/>
      <c r="X4" s="202"/>
    </row>
    <row r="5" spans="1:24" s="1" customFormat="1" ht="11.25" customHeight="1" x14ac:dyDescent="0.2">
      <c r="A5" s="51"/>
      <c r="B5" s="51"/>
      <c r="C5" s="51"/>
      <c r="D5" s="201" t="s">
        <v>3</v>
      </c>
      <c r="E5" s="201"/>
      <c r="F5" s="201"/>
      <c r="G5" s="6">
        <v>1</v>
      </c>
      <c r="H5" s="65"/>
      <c r="I5" s="2"/>
      <c r="J5" s="2"/>
      <c r="K5" s="2"/>
      <c r="L5" s="201" t="s">
        <v>4</v>
      </c>
      <c r="M5" s="201"/>
      <c r="N5" s="208" t="s">
        <v>118</v>
      </c>
      <c r="O5" s="208"/>
      <c r="P5" s="208"/>
      <c r="Q5" s="208"/>
      <c r="R5" s="208"/>
      <c r="S5" s="208"/>
      <c r="T5" s="208"/>
      <c r="U5" s="215"/>
      <c r="V5" s="216"/>
      <c r="W5" s="98"/>
      <c r="X5" s="202"/>
    </row>
    <row r="6" spans="1:24" s="1" customFormat="1" ht="21.75" customHeight="1" x14ac:dyDescent="0.2">
      <c r="A6" s="217" t="s">
        <v>5</v>
      </c>
      <c r="B6" s="209" t="s">
        <v>6</v>
      </c>
      <c r="C6" s="210"/>
      <c r="D6" s="217" t="s">
        <v>7</v>
      </c>
      <c r="E6" s="155"/>
      <c r="F6" s="203" t="s">
        <v>8</v>
      </c>
      <c r="G6" s="204"/>
      <c r="H6" s="205"/>
      <c r="I6" s="217" t="s">
        <v>9</v>
      </c>
      <c r="J6" s="203" t="s">
        <v>10</v>
      </c>
      <c r="K6" s="204"/>
      <c r="L6" s="204"/>
      <c r="M6" s="204"/>
      <c r="N6" s="205"/>
      <c r="O6" s="203" t="s">
        <v>11</v>
      </c>
      <c r="P6" s="204"/>
      <c r="Q6" s="204"/>
      <c r="R6" s="204"/>
      <c r="S6" s="204"/>
      <c r="T6" s="205"/>
      <c r="U6" s="8"/>
      <c r="V6" s="21"/>
      <c r="W6" s="21"/>
      <c r="X6" s="21"/>
    </row>
    <row r="7" spans="1:24" s="1" customFormat="1" ht="21" customHeight="1" x14ac:dyDescent="0.2">
      <c r="A7" s="218"/>
      <c r="B7" s="211"/>
      <c r="C7" s="212"/>
      <c r="D7" s="218"/>
      <c r="E7" s="148"/>
      <c r="F7" s="89" t="s">
        <v>12</v>
      </c>
      <c r="G7" s="149" t="s">
        <v>13</v>
      </c>
      <c r="H7" s="149" t="s">
        <v>14</v>
      </c>
      <c r="I7" s="218"/>
      <c r="J7" s="149" t="s">
        <v>15</v>
      </c>
      <c r="K7" s="149" t="s">
        <v>57</v>
      </c>
      <c r="L7" s="149" t="s">
        <v>16</v>
      </c>
      <c r="M7" s="149" t="s">
        <v>17</v>
      </c>
      <c r="N7" s="149" t="s">
        <v>18</v>
      </c>
      <c r="O7" s="149" t="s">
        <v>19</v>
      </c>
      <c r="P7" s="149" t="s">
        <v>20</v>
      </c>
      <c r="Q7" s="149" t="s">
        <v>58</v>
      </c>
      <c r="R7" s="149" t="s">
        <v>59</v>
      </c>
      <c r="S7" s="149" t="s">
        <v>21</v>
      </c>
      <c r="T7" s="149" t="s">
        <v>22</v>
      </c>
      <c r="U7" s="8"/>
      <c r="V7" s="21"/>
      <c r="W7" s="21"/>
      <c r="X7" s="21"/>
    </row>
    <row r="8" spans="1:24" s="1" customFormat="1" ht="11.25" customHeight="1" x14ac:dyDescent="0.2">
      <c r="A8" s="154">
        <v>1</v>
      </c>
      <c r="B8" s="233">
        <v>2</v>
      </c>
      <c r="C8" s="234"/>
      <c r="D8" s="36">
        <v>3</v>
      </c>
      <c r="E8" s="36"/>
      <c r="F8" s="90">
        <v>4</v>
      </c>
      <c r="G8" s="36">
        <v>5</v>
      </c>
      <c r="H8" s="36">
        <v>6</v>
      </c>
      <c r="I8" s="36">
        <v>7</v>
      </c>
      <c r="J8" s="36">
        <v>8</v>
      </c>
      <c r="K8" s="36">
        <v>9</v>
      </c>
      <c r="L8" s="36">
        <v>10</v>
      </c>
      <c r="M8" s="36">
        <v>11</v>
      </c>
      <c r="N8" s="36">
        <v>12</v>
      </c>
      <c r="O8" s="36">
        <v>13</v>
      </c>
      <c r="P8" s="36">
        <v>14</v>
      </c>
      <c r="Q8" s="36">
        <v>15</v>
      </c>
      <c r="R8" s="36">
        <v>16</v>
      </c>
      <c r="S8" s="36">
        <v>17</v>
      </c>
      <c r="T8" s="36">
        <v>18</v>
      </c>
      <c r="U8" s="9"/>
      <c r="V8" s="22"/>
      <c r="W8" s="22"/>
      <c r="X8" s="22"/>
    </row>
    <row r="9" spans="1:24" s="1" customFormat="1" ht="11.25" customHeight="1" x14ac:dyDescent="0.2">
      <c r="A9" s="227" t="s">
        <v>23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9"/>
      <c r="U9" s="10"/>
      <c r="V9" s="23"/>
      <c r="W9" s="23"/>
      <c r="X9" s="23"/>
    </row>
    <row r="10" spans="1:24" s="118" customFormat="1" ht="20.25" customHeight="1" x14ac:dyDescent="0.2">
      <c r="A10" s="64">
        <v>71</v>
      </c>
      <c r="B10" s="231" t="s">
        <v>64</v>
      </c>
      <c r="C10" s="232"/>
      <c r="D10" s="68">
        <v>40</v>
      </c>
      <c r="E10" s="68">
        <v>9.24</v>
      </c>
      <c r="F10" s="150">
        <f>0.5*D10/60</f>
        <v>0.33333333333333331</v>
      </c>
      <c r="G10" s="150">
        <f>0.03*D10/30</f>
        <v>0.04</v>
      </c>
      <c r="H10" s="150">
        <f>1.7*D10/60</f>
        <v>1.1333333333333333</v>
      </c>
      <c r="I10" s="150">
        <f>F10*4+G10*9+H10*4</f>
        <v>6.2266666666666666</v>
      </c>
      <c r="J10" s="69">
        <v>8.9999999999999993E-3</v>
      </c>
      <c r="K10" s="150">
        <v>0.01</v>
      </c>
      <c r="L10" s="70">
        <v>3</v>
      </c>
      <c r="M10" s="69">
        <v>3.0000000000000001E-3</v>
      </c>
      <c r="N10" s="68">
        <v>0.03</v>
      </c>
      <c r="O10" s="150">
        <v>6.9</v>
      </c>
      <c r="P10" s="150">
        <v>12.6</v>
      </c>
      <c r="Q10" s="69">
        <v>6.4000000000000001E-2</v>
      </c>
      <c r="R10" s="69">
        <v>1E-3</v>
      </c>
      <c r="S10" s="150">
        <v>4.2</v>
      </c>
      <c r="T10" s="150">
        <v>0.18</v>
      </c>
      <c r="U10" s="31"/>
      <c r="V10" s="32"/>
      <c r="W10" s="32"/>
      <c r="X10" s="32"/>
    </row>
    <row r="11" spans="1:24" s="118" customFormat="1" ht="22.5" customHeight="1" x14ac:dyDescent="0.2">
      <c r="A11" s="111">
        <v>591</v>
      </c>
      <c r="B11" s="223" t="s">
        <v>105</v>
      </c>
      <c r="C11" s="224"/>
      <c r="D11" s="112">
        <v>120</v>
      </c>
      <c r="E11" s="106">
        <v>45.68</v>
      </c>
      <c r="F11" s="106">
        <v>5.86</v>
      </c>
      <c r="G11" s="106">
        <v>16.309999999999999</v>
      </c>
      <c r="H11" s="106">
        <v>3.07</v>
      </c>
      <c r="I11" s="106">
        <v>182.51</v>
      </c>
      <c r="J11" s="106">
        <v>0.14000000000000001</v>
      </c>
      <c r="K11" s="106">
        <v>0.05</v>
      </c>
      <c r="L11" s="106">
        <v>0.09</v>
      </c>
      <c r="M11" s="106">
        <v>0</v>
      </c>
      <c r="N11" s="106">
        <v>0</v>
      </c>
      <c r="O11" s="106">
        <v>9.5399999999999991</v>
      </c>
      <c r="P11" s="106">
        <v>63.38</v>
      </c>
      <c r="Q11" s="106">
        <v>1.1200000000000001</v>
      </c>
      <c r="R11" s="106">
        <v>2.5499999999999998</v>
      </c>
      <c r="S11" s="106">
        <v>11.3</v>
      </c>
      <c r="T11" s="106">
        <v>0.75</v>
      </c>
      <c r="U11" s="128"/>
      <c r="V11" s="129"/>
      <c r="W11" s="129"/>
      <c r="X11" s="129"/>
    </row>
    <row r="12" spans="1:24" s="118" customFormat="1" ht="24" customHeight="1" x14ac:dyDescent="0.2">
      <c r="A12" s="154">
        <v>203</v>
      </c>
      <c r="B12" s="231" t="s">
        <v>76</v>
      </c>
      <c r="C12" s="232"/>
      <c r="D12" s="125">
        <v>180</v>
      </c>
      <c r="E12" s="126">
        <v>8.3699999999999992</v>
      </c>
      <c r="F12" s="126">
        <f>5.7*D12/150</f>
        <v>6.84</v>
      </c>
      <c r="G12" s="126">
        <f>3.43*D12/150</f>
        <v>4.1159999999999997</v>
      </c>
      <c r="H12" s="126">
        <f>36.45*D12/150</f>
        <v>43.740000000000009</v>
      </c>
      <c r="I12" s="126">
        <f>F12*4+G12*9+H12*4</f>
        <v>239.36400000000003</v>
      </c>
      <c r="J12" s="126">
        <f>0.09*D12/150</f>
        <v>0.108</v>
      </c>
      <c r="K12" s="126">
        <f>0.03*D12/150</f>
        <v>3.5999999999999997E-2</v>
      </c>
      <c r="L12" s="126">
        <v>0</v>
      </c>
      <c r="M12" s="127">
        <f>0.03*D12/150</f>
        <v>3.5999999999999997E-2</v>
      </c>
      <c r="N12" s="126">
        <f>1.25*D12/150</f>
        <v>1.5</v>
      </c>
      <c r="O12" s="126">
        <f>13.28*D12/150</f>
        <v>15.936</v>
      </c>
      <c r="P12" s="126">
        <f>46.21*D12/150</f>
        <v>55.451999999999998</v>
      </c>
      <c r="Q12" s="126">
        <f>0.78*D12/150</f>
        <v>0.93600000000000005</v>
      </c>
      <c r="R12" s="127">
        <f>0.0015*D12/150</f>
        <v>1.8000000000000002E-3</v>
      </c>
      <c r="S12" s="126">
        <f>8.47*D12/150</f>
        <v>10.164000000000001</v>
      </c>
      <c r="T12" s="126">
        <f>0.86*D12/150</f>
        <v>1.032</v>
      </c>
      <c r="U12" s="128"/>
      <c r="V12" s="129"/>
      <c r="W12" s="129"/>
      <c r="X12" s="129"/>
    </row>
    <row r="13" spans="1:24" s="118" customFormat="1" ht="12.75" customHeight="1" x14ac:dyDescent="0.2">
      <c r="A13" s="154">
        <v>377</v>
      </c>
      <c r="B13" s="219" t="s">
        <v>45</v>
      </c>
      <c r="C13" s="219"/>
      <c r="D13" s="125">
        <v>200</v>
      </c>
      <c r="E13" s="126">
        <v>3.61</v>
      </c>
      <c r="F13" s="126">
        <v>0.26</v>
      </c>
      <c r="G13" s="126">
        <v>0.06</v>
      </c>
      <c r="H13" s="126">
        <v>15.22</v>
      </c>
      <c r="I13" s="126">
        <f>F13*4+G13*9+H13*4</f>
        <v>62.46</v>
      </c>
      <c r="J13" s="126"/>
      <c r="K13" s="126">
        <v>0.01</v>
      </c>
      <c r="L13" s="126">
        <v>2.9</v>
      </c>
      <c r="M13" s="123">
        <v>0</v>
      </c>
      <c r="N13" s="126">
        <v>0.06</v>
      </c>
      <c r="O13" s="126">
        <v>8.0500000000000007</v>
      </c>
      <c r="P13" s="126">
        <v>9.7799999999999994</v>
      </c>
      <c r="Q13" s="126">
        <v>1.7000000000000001E-2</v>
      </c>
      <c r="R13" s="127">
        <v>0</v>
      </c>
      <c r="S13" s="126">
        <v>5.24</v>
      </c>
      <c r="T13" s="126">
        <v>0.87</v>
      </c>
      <c r="U13" s="128"/>
      <c r="V13" s="129"/>
      <c r="W13" s="129"/>
      <c r="X13" s="129"/>
    </row>
    <row r="14" spans="1:24" s="118" customFormat="1" ht="11.25" customHeight="1" x14ac:dyDescent="0.2">
      <c r="A14" s="131" t="s">
        <v>66</v>
      </c>
      <c r="B14" s="231" t="s">
        <v>53</v>
      </c>
      <c r="C14" s="232"/>
      <c r="D14" s="125">
        <v>40</v>
      </c>
      <c r="E14" s="126">
        <v>3.1</v>
      </c>
      <c r="F14" s="126">
        <f>1.52*D14/30</f>
        <v>2.0266666666666664</v>
      </c>
      <c r="G14" s="127">
        <f>0.16*D14/30</f>
        <v>0.21333333333333335</v>
      </c>
      <c r="H14" s="127">
        <f>9.84*D14/30</f>
        <v>13.120000000000001</v>
      </c>
      <c r="I14" s="127">
        <f>F14*4+G14*9+H14*4</f>
        <v>62.506666666666668</v>
      </c>
      <c r="J14" s="127">
        <f>0.02*D14/30</f>
        <v>2.6666666666666668E-2</v>
      </c>
      <c r="K14" s="127">
        <f>0.01*D14/30</f>
        <v>1.3333333333333334E-2</v>
      </c>
      <c r="L14" s="127">
        <f>0.44*D14/30</f>
        <v>0.58666666666666667</v>
      </c>
      <c r="M14" s="127">
        <v>0</v>
      </c>
      <c r="N14" s="127">
        <f>0.7*D14/30</f>
        <v>0.93333333333333335</v>
      </c>
      <c r="O14" s="127">
        <f>4*D14/30</f>
        <v>5.333333333333333</v>
      </c>
      <c r="P14" s="127">
        <f>13*D14/30</f>
        <v>17.333333333333332</v>
      </c>
      <c r="Q14" s="127">
        <f>0.008*D14/30</f>
        <v>1.0666666666666666E-2</v>
      </c>
      <c r="R14" s="127">
        <f>0.001*D14/30</f>
        <v>1.3333333333333333E-3</v>
      </c>
      <c r="S14" s="127">
        <v>0</v>
      </c>
      <c r="T14" s="127">
        <f>0.22*D14/30</f>
        <v>0.29333333333333333</v>
      </c>
      <c r="U14" s="128"/>
      <c r="V14" s="129"/>
      <c r="W14" s="129"/>
      <c r="X14" s="129"/>
    </row>
    <row r="15" spans="1:24" s="118" customFormat="1" ht="11.25" customHeight="1" x14ac:dyDescent="0.2">
      <c r="A15" s="58" t="s">
        <v>25</v>
      </c>
      <c r="B15" s="59"/>
      <c r="C15" s="59"/>
      <c r="D15" s="57">
        <f t="shared" ref="D15:J15" si="0">SUM(D10:D14)</f>
        <v>580</v>
      </c>
      <c r="E15" s="132">
        <f t="shared" si="0"/>
        <v>70</v>
      </c>
      <c r="F15" s="38">
        <f>SUM(F10:F14)</f>
        <v>15.32</v>
      </c>
      <c r="G15" s="37">
        <f t="shared" si="0"/>
        <v>20.739333333333331</v>
      </c>
      <c r="H15" s="37">
        <f t="shared" si="0"/>
        <v>76.283333333333346</v>
      </c>
      <c r="I15" s="37">
        <f t="shared" si="0"/>
        <v>553.06733333333341</v>
      </c>
      <c r="J15" s="38">
        <f t="shared" si="0"/>
        <v>0.28366666666666668</v>
      </c>
      <c r="K15" s="38">
        <f t="shared" ref="K15:T15" si="1">SUM(K10:K14)</f>
        <v>0.11933333333333333</v>
      </c>
      <c r="L15" s="38">
        <f t="shared" si="1"/>
        <v>6.5766666666666671</v>
      </c>
      <c r="M15" s="39">
        <f t="shared" si="1"/>
        <v>3.9E-2</v>
      </c>
      <c r="N15" s="38">
        <f t="shared" si="1"/>
        <v>2.5233333333333334</v>
      </c>
      <c r="O15" s="37">
        <f t="shared" si="1"/>
        <v>45.759333333333338</v>
      </c>
      <c r="P15" s="37">
        <f t="shared" si="1"/>
        <v>158.54533333333336</v>
      </c>
      <c r="Q15" s="38">
        <f t="shared" si="1"/>
        <v>2.1476666666666668</v>
      </c>
      <c r="R15" s="39">
        <f t="shared" si="1"/>
        <v>2.5541333333333327</v>
      </c>
      <c r="S15" s="37">
        <f t="shared" si="1"/>
        <v>30.904000000000003</v>
      </c>
      <c r="T15" s="38">
        <f t="shared" si="1"/>
        <v>3.1253333333333333</v>
      </c>
      <c r="U15" s="37"/>
      <c r="V15" s="120"/>
      <c r="W15" s="120"/>
      <c r="X15" s="120"/>
    </row>
    <row r="16" spans="1:24" s="118" customFormat="1" ht="11.25" customHeight="1" x14ac:dyDescent="0.2">
      <c r="A16" s="220" t="s">
        <v>62</v>
      </c>
      <c r="B16" s="221"/>
      <c r="C16" s="221"/>
      <c r="D16" s="222"/>
      <c r="E16" s="152"/>
      <c r="F16" s="133">
        <f t="shared" ref="F16:T16" si="2">F15/F37</f>
        <v>0.17022222222222222</v>
      </c>
      <c r="G16" s="66">
        <f t="shared" si="2"/>
        <v>0.22542753623188402</v>
      </c>
      <c r="H16" s="66">
        <f t="shared" si="2"/>
        <v>0.19917319408181031</v>
      </c>
      <c r="I16" s="66">
        <f t="shared" si="2"/>
        <v>0.20333357843137256</v>
      </c>
      <c r="J16" s="66">
        <f t="shared" si="2"/>
        <v>0.20261904761904764</v>
      </c>
      <c r="K16" s="66">
        <f t="shared" si="2"/>
        <v>7.4583333333333335E-2</v>
      </c>
      <c r="L16" s="66">
        <f t="shared" si="2"/>
        <v>9.3952380952380954E-2</v>
      </c>
      <c r="M16" s="66">
        <f t="shared" si="2"/>
        <v>4.3333333333333335E-2</v>
      </c>
      <c r="N16" s="66">
        <f t="shared" si="2"/>
        <v>0.21027777777777779</v>
      </c>
      <c r="O16" s="42">
        <f t="shared" si="2"/>
        <v>3.8132777777777779E-2</v>
      </c>
      <c r="P16" s="66">
        <f t="shared" si="2"/>
        <v>0.13212111111111113</v>
      </c>
      <c r="Q16" s="66">
        <f t="shared" si="2"/>
        <v>0.1534047619047619</v>
      </c>
      <c r="R16" s="66">
        <f t="shared" si="2"/>
        <v>25.541333333333327</v>
      </c>
      <c r="S16" s="66">
        <f t="shared" si="2"/>
        <v>0.10301333333333335</v>
      </c>
      <c r="T16" s="42">
        <f t="shared" si="2"/>
        <v>0.17362962962962963</v>
      </c>
      <c r="U16" s="122"/>
      <c r="V16" s="120"/>
      <c r="W16" s="120"/>
      <c r="X16" s="120"/>
    </row>
    <row r="17" spans="1:24" s="107" customFormat="1" ht="14.25" customHeight="1" x14ac:dyDescent="0.2">
      <c r="A17" s="174" t="s">
        <v>66</v>
      </c>
      <c r="B17" s="200" t="s">
        <v>114</v>
      </c>
      <c r="C17" s="200"/>
      <c r="D17" s="175">
        <v>200</v>
      </c>
      <c r="E17" s="176"/>
      <c r="F17" s="177">
        <v>5.6</v>
      </c>
      <c r="G17" s="177">
        <v>6.4</v>
      </c>
      <c r="H17" s="177">
        <v>9.4</v>
      </c>
      <c r="I17" s="177">
        <v>117.6</v>
      </c>
      <c r="J17" s="177">
        <v>0.08</v>
      </c>
      <c r="K17" s="177">
        <v>0.307</v>
      </c>
      <c r="L17" s="177">
        <v>2.6</v>
      </c>
      <c r="M17" s="177">
        <v>6.7000000000000004E-2</v>
      </c>
      <c r="N17" s="177">
        <v>0.29199999999999998</v>
      </c>
      <c r="O17" s="177">
        <v>240</v>
      </c>
      <c r="P17" s="177">
        <v>180</v>
      </c>
      <c r="Q17" s="177">
        <v>0.8</v>
      </c>
      <c r="R17" s="177">
        <v>1.7999999999999999E-2</v>
      </c>
      <c r="S17" s="177">
        <v>28</v>
      </c>
      <c r="T17" s="177">
        <v>0.12</v>
      </c>
    </row>
    <row r="18" spans="1:24" s="118" customFormat="1" ht="11.25" hidden="1" customHeight="1" x14ac:dyDescent="0.2">
      <c r="A18" s="151"/>
      <c r="B18" s="152"/>
      <c r="C18" s="152"/>
      <c r="D18" s="152"/>
      <c r="E18" s="146">
        <f>70-E15</f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43"/>
      <c r="P18" s="133"/>
      <c r="Q18" s="133"/>
      <c r="R18" s="133"/>
      <c r="S18" s="133"/>
      <c r="T18" s="144"/>
      <c r="U18" s="122"/>
      <c r="V18" s="120"/>
      <c r="W18" s="120"/>
      <c r="X18" s="120"/>
    </row>
    <row r="19" spans="1:24" s="118" customFormat="1" ht="11.25" customHeight="1" x14ac:dyDescent="0.2">
      <c r="A19" s="227" t="s">
        <v>28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10"/>
      <c r="V19" s="23"/>
      <c r="W19" s="23"/>
      <c r="X19" s="23"/>
    </row>
    <row r="20" spans="1:24" s="118" customFormat="1" ht="22.5" hidden="1" customHeight="1" x14ac:dyDescent="0.2">
      <c r="A20" s="74" t="s">
        <v>89</v>
      </c>
      <c r="B20" s="225" t="s">
        <v>85</v>
      </c>
      <c r="C20" s="226"/>
      <c r="D20" s="74"/>
      <c r="E20" s="74"/>
      <c r="F20" s="81">
        <f>0.94*D20/60</f>
        <v>0</v>
      </c>
      <c r="G20" s="81">
        <f>7.22*D20/60</f>
        <v>0</v>
      </c>
      <c r="H20" s="81">
        <f>5.27*D20/60</f>
        <v>0</v>
      </c>
      <c r="I20" s="126">
        <f>F20*4+G20*9+H20*4</f>
        <v>0</v>
      </c>
      <c r="J20" s="74">
        <f>0.03*D20/60</f>
        <v>0</v>
      </c>
      <c r="K20" s="74">
        <f>0.03*D20/60</f>
        <v>0</v>
      </c>
      <c r="L20" s="74">
        <f>12.4*D20/60</f>
        <v>0</v>
      </c>
      <c r="M20" s="80">
        <f>0.001*D20/60</f>
        <v>0</v>
      </c>
      <c r="N20" s="74">
        <f>1.5*D20/60</f>
        <v>0</v>
      </c>
      <c r="O20" s="81">
        <f>19.7*D20/60</f>
        <v>0</v>
      </c>
      <c r="P20" s="79">
        <f>20.31*D20/60</f>
        <v>0</v>
      </c>
      <c r="Q20" s="74">
        <f>0.3*D20/60</f>
        <v>0</v>
      </c>
      <c r="R20" s="80">
        <f>0.001*D20/60</f>
        <v>0</v>
      </c>
      <c r="S20" s="81">
        <f>9.98*D20/60</f>
        <v>0</v>
      </c>
      <c r="T20" s="80">
        <f>0.34*D20/60</f>
        <v>0</v>
      </c>
      <c r="U20" s="10"/>
      <c r="V20" s="23"/>
      <c r="W20" s="23"/>
      <c r="X20" s="23"/>
    </row>
    <row r="21" spans="1:24" s="118" customFormat="1" ht="22.5" customHeight="1" x14ac:dyDescent="0.2">
      <c r="A21" s="154">
        <v>56</v>
      </c>
      <c r="B21" s="219" t="s">
        <v>109</v>
      </c>
      <c r="C21" s="219"/>
      <c r="D21" s="125">
        <v>100</v>
      </c>
      <c r="E21" s="126">
        <v>7.5</v>
      </c>
      <c r="F21" s="126">
        <f>0.9*D21/60</f>
        <v>1.5</v>
      </c>
      <c r="G21" s="124">
        <f>3.1*D21/60</f>
        <v>5.166666666666667</v>
      </c>
      <c r="H21" s="124">
        <f>5.6*D21/60</f>
        <v>9.3333333333333339</v>
      </c>
      <c r="I21" s="126">
        <f>F21*4+G21*9+H21*4</f>
        <v>89.833333333333343</v>
      </c>
      <c r="J21" s="127">
        <f>0.1*D21/60</f>
        <v>0.16666666666666666</v>
      </c>
      <c r="K21" s="127">
        <f>0.1*D21/60</f>
        <v>0.16666666666666666</v>
      </c>
      <c r="L21" s="126">
        <f>12.3*D21/60</f>
        <v>20.5</v>
      </c>
      <c r="M21" s="127">
        <f>0.02*D21/60</f>
        <v>3.3333333333333333E-2</v>
      </c>
      <c r="N21" s="127">
        <f>0.5*D21/60</f>
        <v>0.83333333333333337</v>
      </c>
      <c r="O21" s="124">
        <f>59.9*D21/60</f>
        <v>99.833333333333329</v>
      </c>
      <c r="P21" s="124">
        <f>31.3*D21/60</f>
        <v>52.166666666666664</v>
      </c>
      <c r="Q21" s="130">
        <f>0.4228*D21/60</f>
        <v>0.70466666666666666</v>
      </c>
      <c r="R21" s="127">
        <f>0.003*D21/60</f>
        <v>5.0000000000000001E-3</v>
      </c>
      <c r="S21" s="124">
        <f>16.3*D21/60</f>
        <v>27.166666666666668</v>
      </c>
      <c r="T21" s="126">
        <f>0.7*D21/60</f>
        <v>1.1666666666666667</v>
      </c>
      <c r="U21" s="128"/>
      <c r="V21" s="129"/>
      <c r="W21" s="129"/>
      <c r="X21" s="129"/>
    </row>
    <row r="22" spans="1:24" s="118" customFormat="1" ht="15" customHeight="1" x14ac:dyDescent="0.2">
      <c r="A22" s="154">
        <v>96</v>
      </c>
      <c r="B22" s="231" t="s">
        <v>99</v>
      </c>
      <c r="C22" s="232"/>
      <c r="D22" s="125">
        <v>250</v>
      </c>
      <c r="E22" s="126">
        <v>13.85</v>
      </c>
      <c r="F22" s="126">
        <f>2.6*D22/250</f>
        <v>2.6</v>
      </c>
      <c r="G22" s="126">
        <f>6.13*D22/250</f>
        <v>6.13</v>
      </c>
      <c r="H22" s="126">
        <f>17.03*D22/250</f>
        <v>17.03</v>
      </c>
      <c r="I22" s="126">
        <f t="shared" ref="I22:I27" si="3">F22*4+G22*9+H22*4</f>
        <v>133.69</v>
      </c>
      <c r="J22" s="126">
        <f>0.123*D22/250</f>
        <v>0.123</v>
      </c>
      <c r="K22" s="127">
        <f>0.074*D22/250</f>
        <v>7.3999999999999996E-2</v>
      </c>
      <c r="L22" s="124">
        <f>16.03*D22/250</f>
        <v>16.03</v>
      </c>
      <c r="M22" s="126">
        <f>0.035*D22/250</f>
        <v>3.5000000000000003E-2</v>
      </c>
      <c r="N22" s="123">
        <v>0</v>
      </c>
      <c r="O22" s="124">
        <f>25.3*D22/250</f>
        <v>25.3</v>
      </c>
      <c r="P22" s="124">
        <f>71.05*D22/250</f>
        <v>71.05</v>
      </c>
      <c r="Q22" s="125">
        <v>0</v>
      </c>
      <c r="R22" s="125">
        <v>0</v>
      </c>
      <c r="S22" s="124">
        <f>26.725*D22/250</f>
        <v>26.725000000000001</v>
      </c>
      <c r="T22" s="126">
        <f>0.95*D22/250</f>
        <v>0.95</v>
      </c>
      <c r="U22" s="128"/>
      <c r="V22" s="129"/>
      <c r="W22" s="129"/>
      <c r="X22" s="129"/>
    </row>
    <row r="23" spans="1:24" s="118" customFormat="1" ht="23.25" customHeight="1" x14ac:dyDescent="0.2">
      <c r="A23" s="154">
        <v>266</v>
      </c>
      <c r="B23" s="231" t="s">
        <v>86</v>
      </c>
      <c r="C23" s="232"/>
      <c r="D23" s="125">
        <v>100</v>
      </c>
      <c r="E23" s="126">
        <v>44.81</v>
      </c>
      <c r="F23" s="126">
        <v>16.68</v>
      </c>
      <c r="G23" s="126">
        <v>23.27</v>
      </c>
      <c r="H23" s="126">
        <v>4.28</v>
      </c>
      <c r="I23" s="126">
        <v>293</v>
      </c>
      <c r="J23" s="126">
        <v>0.20300000000000001</v>
      </c>
      <c r="K23" s="126">
        <v>0.23</v>
      </c>
      <c r="L23" s="126">
        <v>0.48</v>
      </c>
      <c r="M23" s="126">
        <f>0.04*D23/80</f>
        <v>0.05</v>
      </c>
      <c r="N23" s="123">
        <v>6.8000000000000005E-2</v>
      </c>
      <c r="O23" s="124">
        <v>54.5</v>
      </c>
      <c r="P23" s="124">
        <v>200.14</v>
      </c>
      <c r="Q23" s="126">
        <v>2.56</v>
      </c>
      <c r="R23" s="127">
        <f>0.04*D23/80</f>
        <v>0.05</v>
      </c>
      <c r="S23" s="124">
        <v>27.5</v>
      </c>
      <c r="T23" s="126">
        <v>2.17</v>
      </c>
      <c r="U23" s="128"/>
      <c r="V23" s="129"/>
      <c r="W23" s="129"/>
      <c r="X23" s="129"/>
    </row>
    <row r="24" spans="1:24" s="118" customFormat="1" ht="12.75" customHeight="1" x14ac:dyDescent="0.2">
      <c r="A24" s="131">
        <v>171</v>
      </c>
      <c r="B24" s="231" t="s">
        <v>24</v>
      </c>
      <c r="C24" s="232"/>
      <c r="D24" s="125">
        <v>180</v>
      </c>
      <c r="E24" s="126">
        <v>13.8</v>
      </c>
      <c r="F24" s="126">
        <f>6.57*D24/150</f>
        <v>7.8840000000000012</v>
      </c>
      <c r="G24" s="126">
        <f>4.19*D24/150</f>
        <v>5.0280000000000005</v>
      </c>
      <c r="H24" s="126">
        <f>32.32*D24/150</f>
        <v>38.783999999999999</v>
      </c>
      <c r="I24" s="126">
        <f t="shared" si="3"/>
        <v>231.92400000000001</v>
      </c>
      <c r="J24" s="127">
        <f>0.06*D24/150</f>
        <v>7.1999999999999995E-2</v>
      </c>
      <c r="K24" s="127">
        <f>0.03*D24/150</f>
        <v>3.5999999999999997E-2</v>
      </c>
      <c r="L24" s="123">
        <v>0</v>
      </c>
      <c r="M24" s="127">
        <f>0.03*D24/150</f>
        <v>3.5999999999999997E-2</v>
      </c>
      <c r="N24" s="123">
        <f>2.55*D24/150</f>
        <v>3.0599999999999996</v>
      </c>
      <c r="O24" s="126">
        <f>18.12*D24/150</f>
        <v>21.744000000000003</v>
      </c>
      <c r="P24" s="126">
        <f>157.03*D24/150</f>
        <v>188.43600000000001</v>
      </c>
      <c r="Q24" s="127">
        <f>0.8874*D24/150</f>
        <v>1.06488</v>
      </c>
      <c r="R24" s="127">
        <f>0.00135*D24/150</f>
        <v>1.6200000000000001E-3</v>
      </c>
      <c r="S24" s="126">
        <f>104.45*D24/150</f>
        <v>125.34</v>
      </c>
      <c r="T24" s="126">
        <f>3.55*D24/150</f>
        <v>4.26</v>
      </c>
      <c r="U24" s="128"/>
      <c r="V24" s="129"/>
      <c r="W24" s="129"/>
      <c r="X24" s="129"/>
    </row>
    <row r="25" spans="1:24" s="118" customFormat="1" x14ac:dyDescent="0.2">
      <c r="A25" s="111">
        <v>345</v>
      </c>
      <c r="B25" s="230" t="s">
        <v>49</v>
      </c>
      <c r="C25" s="230"/>
      <c r="D25" s="115">
        <v>200</v>
      </c>
      <c r="E25" s="106">
        <v>4.9000000000000004</v>
      </c>
      <c r="F25" s="106">
        <v>0.06</v>
      </c>
      <c r="G25" s="106">
        <v>0.02</v>
      </c>
      <c r="H25" s="106">
        <v>20.73</v>
      </c>
      <c r="I25" s="106">
        <v>83.34</v>
      </c>
      <c r="J25" s="106">
        <v>0</v>
      </c>
      <c r="K25" s="106">
        <v>0</v>
      </c>
      <c r="L25" s="106">
        <v>2.5</v>
      </c>
      <c r="M25" s="106">
        <v>4.0000000000000001E-3</v>
      </c>
      <c r="N25" s="106">
        <v>0.2</v>
      </c>
      <c r="O25" s="106">
        <v>4</v>
      </c>
      <c r="P25" s="106">
        <v>3.3</v>
      </c>
      <c r="Q25" s="106">
        <v>0.08</v>
      </c>
      <c r="R25" s="106">
        <v>1E-3</v>
      </c>
      <c r="S25" s="106">
        <v>1.7</v>
      </c>
      <c r="T25" s="106">
        <v>0.15</v>
      </c>
      <c r="U25" s="128"/>
      <c r="V25" s="129"/>
      <c r="W25" s="129"/>
      <c r="X25" s="129"/>
    </row>
    <row r="26" spans="1:24" s="118" customFormat="1" ht="11.25" customHeight="1" x14ac:dyDescent="0.2">
      <c r="A26" s="67" t="s">
        <v>66</v>
      </c>
      <c r="B26" s="231" t="s">
        <v>46</v>
      </c>
      <c r="C26" s="232"/>
      <c r="D26" s="125">
        <v>40</v>
      </c>
      <c r="E26" s="126">
        <v>2.04</v>
      </c>
      <c r="F26" s="126">
        <f>2.64*D26/40</f>
        <v>2.64</v>
      </c>
      <c r="G26" s="126">
        <f>0.48*D26/40</f>
        <v>0.48</v>
      </c>
      <c r="H26" s="126">
        <f>13.68*D26/40</f>
        <v>13.680000000000001</v>
      </c>
      <c r="I26" s="124">
        <f t="shared" si="3"/>
        <v>69.600000000000009</v>
      </c>
      <c r="J26" s="123">
        <f>0.08*D26/40</f>
        <v>0.08</v>
      </c>
      <c r="K26" s="126">
        <f>0.04*D26/40</f>
        <v>0.04</v>
      </c>
      <c r="L26" s="125">
        <v>0</v>
      </c>
      <c r="M26" s="125">
        <v>0</v>
      </c>
      <c r="N26" s="126">
        <f>2.4*D26/40</f>
        <v>2.4</v>
      </c>
      <c r="O26" s="126">
        <f>14*D26/40</f>
        <v>14</v>
      </c>
      <c r="P26" s="126">
        <f>63.2*D26/40</f>
        <v>63.2</v>
      </c>
      <c r="Q26" s="126">
        <f>1.2*D26/40</f>
        <v>1.2</v>
      </c>
      <c r="R26" s="127">
        <f>0.001*D26/40</f>
        <v>1E-3</v>
      </c>
      <c r="S26" s="126">
        <f>9.4*D26/40</f>
        <v>9.4</v>
      </c>
      <c r="T26" s="123">
        <f>0.78*D26/40</f>
        <v>0.78</v>
      </c>
      <c r="U26" s="29"/>
      <c r="V26" s="30"/>
      <c r="W26" s="30"/>
      <c r="X26" s="30"/>
    </row>
    <row r="27" spans="1:24" s="118" customFormat="1" ht="11.25" customHeight="1" x14ac:dyDescent="0.2">
      <c r="A27" s="131" t="s">
        <v>66</v>
      </c>
      <c r="B27" s="231" t="s">
        <v>53</v>
      </c>
      <c r="C27" s="232"/>
      <c r="D27" s="125">
        <v>40</v>
      </c>
      <c r="E27" s="126">
        <v>3.1</v>
      </c>
      <c r="F27" s="126">
        <f>1.52*D27/30</f>
        <v>2.0266666666666664</v>
      </c>
      <c r="G27" s="127">
        <f>0.16*D27/30</f>
        <v>0.21333333333333335</v>
      </c>
      <c r="H27" s="127">
        <f>9.84*D27/30</f>
        <v>13.120000000000001</v>
      </c>
      <c r="I27" s="127">
        <f t="shared" si="3"/>
        <v>62.506666666666668</v>
      </c>
      <c r="J27" s="127">
        <f>0.02*D27/30</f>
        <v>2.6666666666666668E-2</v>
      </c>
      <c r="K27" s="127">
        <f>0.01*D27/30</f>
        <v>1.3333333333333334E-2</v>
      </c>
      <c r="L27" s="127">
        <f>0.44*D27/30</f>
        <v>0.58666666666666667</v>
      </c>
      <c r="M27" s="127">
        <v>0</v>
      </c>
      <c r="N27" s="127">
        <f>0.7*D27/30</f>
        <v>0.93333333333333335</v>
      </c>
      <c r="O27" s="127">
        <f>4*D27/30</f>
        <v>5.333333333333333</v>
      </c>
      <c r="P27" s="127">
        <f>13*D27/30</f>
        <v>17.333333333333332</v>
      </c>
      <c r="Q27" s="127">
        <f>0.008*D27/30</f>
        <v>1.0666666666666666E-2</v>
      </c>
      <c r="R27" s="127">
        <f>0.001*D27/30</f>
        <v>1.3333333333333333E-3</v>
      </c>
      <c r="S27" s="127">
        <v>0</v>
      </c>
      <c r="T27" s="127">
        <f>0.22*D27/30</f>
        <v>0.29333333333333333</v>
      </c>
      <c r="U27" s="34"/>
      <c r="V27" s="35"/>
      <c r="W27" s="35"/>
      <c r="X27" s="35"/>
    </row>
    <row r="28" spans="1:24" s="118" customFormat="1" ht="11.25" customHeight="1" x14ac:dyDescent="0.2">
      <c r="A28" s="58" t="s">
        <v>29</v>
      </c>
      <c r="B28" s="59"/>
      <c r="C28" s="59"/>
      <c r="D28" s="62">
        <f t="shared" ref="D28:I28" si="4">SUM(D21:D27)</f>
        <v>910</v>
      </c>
      <c r="E28" s="132">
        <f t="shared" si="4"/>
        <v>90</v>
      </c>
      <c r="F28" s="38">
        <f t="shared" si="4"/>
        <v>33.390666666666668</v>
      </c>
      <c r="G28" s="37">
        <f t="shared" si="4"/>
        <v>40.307999999999993</v>
      </c>
      <c r="H28" s="46">
        <f t="shared" si="4"/>
        <v>116.95733333333335</v>
      </c>
      <c r="I28" s="37">
        <f t="shared" si="4"/>
        <v>963.89400000000001</v>
      </c>
      <c r="J28" s="37">
        <f t="shared" ref="J28:T28" si="5">SUM(J21:J27)</f>
        <v>0.67133333333333323</v>
      </c>
      <c r="K28" s="37">
        <f t="shared" si="5"/>
        <v>0.56000000000000005</v>
      </c>
      <c r="L28" s="37">
        <f t="shared" si="5"/>
        <v>40.096666666666664</v>
      </c>
      <c r="M28" s="38">
        <f t="shared" si="5"/>
        <v>0.15833333333333333</v>
      </c>
      <c r="N28" s="38">
        <f t="shared" si="5"/>
        <v>7.4946666666666673</v>
      </c>
      <c r="O28" s="46">
        <f t="shared" si="5"/>
        <v>224.71066666666667</v>
      </c>
      <c r="P28" s="37">
        <f t="shared" si="5"/>
        <v>595.62600000000009</v>
      </c>
      <c r="Q28" s="39">
        <f t="shared" si="5"/>
        <v>5.6202133333333339</v>
      </c>
      <c r="R28" s="39">
        <f t="shared" si="5"/>
        <v>5.9953333333333338E-2</v>
      </c>
      <c r="S28" s="37">
        <f t="shared" si="5"/>
        <v>217.83166666666668</v>
      </c>
      <c r="T28" s="38">
        <f t="shared" si="5"/>
        <v>9.77</v>
      </c>
      <c r="U28" s="37"/>
      <c r="V28" s="120"/>
      <c r="W28" s="120"/>
      <c r="X28" s="120"/>
    </row>
    <row r="29" spans="1:24" s="118" customFormat="1" ht="11.25" customHeight="1" x14ac:dyDescent="0.2">
      <c r="A29" s="220" t="s">
        <v>62</v>
      </c>
      <c r="B29" s="221"/>
      <c r="C29" s="221"/>
      <c r="D29" s="222"/>
      <c r="E29" s="152"/>
      <c r="F29" s="133">
        <f t="shared" ref="F29:T29" si="6">F28/F37</f>
        <v>0.3710074074074074</v>
      </c>
      <c r="G29" s="66">
        <f t="shared" si="6"/>
        <v>0.4381304347826086</v>
      </c>
      <c r="H29" s="66">
        <f t="shared" si="6"/>
        <v>0.30537162750217584</v>
      </c>
      <c r="I29" s="66">
        <f t="shared" si="6"/>
        <v>0.35437279411764705</v>
      </c>
      <c r="J29" s="66">
        <f t="shared" si="6"/>
        <v>0.47952380952380946</v>
      </c>
      <c r="K29" s="66">
        <f t="shared" si="6"/>
        <v>0.35000000000000003</v>
      </c>
      <c r="L29" s="66">
        <f t="shared" si="6"/>
        <v>0.57280952380952377</v>
      </c>
      <c r="M29" s="66">
        <f t="shared" si="6"/>
        <v>0.1759259259259259</v>
      </c>
      <c r="N29" s="66">
        <f t="shared" si="6"/>
        <v>0.62455555555555564</v>
      </c>
      <c r="O29" s="42">
        <f t="shared" si="6"/>
        <v>0.18725888888888889</v>
      </c>
      <c r="P29" s="66">
        <f t="shared" si="6"/>
        <v>0.4963550000000001</v>
      </c>
      <c r="Q29" s="66">
        <f t="shared" si="6"/>
        <v>0.40144380952380959</v>
      </c>
      <c r="R29" s="66">
        <f t="shared" si="6"/>
        <v>0.59953333333333336</v>
      </c>
      <c r="S29" s="66">
        <f t="shared" si="6"/>
        <v>0.72610555555555556</v>
      </c>
      <c r="T29" s="42">
        <f t="shared" si="6"/>
        <v>0.5427777777777778</v>
      </c>
      <c r="U29" s="122"/>
      <c r="V29" s="120"/>
      <c r="W29" s="120"/>
      <c r="X29" s="120"/>
    </row>
    <row r="30" spans="1:24" s="118" customFormat="1" ht="11.25" hidden="1" customHeight="1" x14ac:dyDescent="0.2">
      <c r="A30" s="151"/>
      <c r="B30" s="152"/>
      <c r="C30" s="152"/>
      <c r="D30" s="152"/>
      <c r="E30" s="146">
        <f>90-E28</f>
        <v>0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43"/>
      <c r="P30" s="133"/>
      <c r="Q30" s="133"/>
      <c r="R30" s="133"/>
      <c r="S30" s="133"/>
      <c r="T30" s="144"/>
      <c r="U30" s="122"/>
      <c r="V30" s="120"/>
      <c r="W30" s="120"/>
      <c r="X30" s="120"/>
    </row>
    <row r="31" spans="1:24" s="118" customFormat="1" ht="15.75" customHeight="1" x14ac:dyDescent="0.2">
      <c r="A31" s="227" t="s">
        <v>30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9"/>
      <c r="U31" s="10"/>
      <c r="V31" s="23"/>
      <c r="W31" s="23"/>
      <c r="X31" s="23"/>
    </row>
    <row r="32" spans="1:24" s="171" customFormat="1" ht="15.75" customHeight="1" x14ac:dyDescent="0.2">
      <c r="A32" s="113"/>
      <c r="B32" s="238"/>
      <c r="C32" s="238"/>
      <c r="D32" s="109"/>
      <c r="E32" s="108"/>
      <c r="F32" s="108"/>
      <c r="G32" s="108"/>
      <c r="H32" s="108"/>
      <c r="I32" s="108"/>
      <c r="J32" s="168"/>
      <c r="K32" s="108"/>
      <c r="L32" s="108"/>
      <c r="M32" s="168"/>
      <c r="N32" s="169"/>
      <c r="O32" s="170"/>
      <c r="P32" s="108"/>
      <c r="Q32" s="108"/>
      <c r="R32" s="168"/>
      <c r="S32" s="108"/>
      <c r="T32" s="108"/>
    </row>
    <row r="33" spans="1:24" s="107" customFormat="1" ht="15.75" customHeight="1" x14ac:dyDescent="0.2">
      <c r="A33" s="172"/>
      <c r="B33" s="239"/>
      <c r="C33" s="239"/>
      <c r="D33" s="173"/>
      <c r="E33" s="114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1:24" s="1" customFormat="1" ht="15.75" customHeight="1" x14ac:dyDescent="0.2">
      <c r="A34" s="58" t="s">
        <v>31</v>
      </c>
      <c r="B34" s="59"/>
      <c r="C34" s="59"/>
      <c r="D34" s="62">
        <f t="shared" ref="D34:T34" si="7">SUM(D32:D33)</f>
        <v>0</v>
      </c>
      <c r="E34" s="132">
        <f t="shared" si="7"/>
        <v>0</v>
      </c>
      <c r="F34" s="132">
        <f t="shared" si="7"/>
        <v>0</v>
      </c>
      <c r="G34" s="132">
        <f t="shared" si="7"/>
        <v>0</v>
      </c>
      <c r="H34" s="132">
        <f t="shared" si="7"/>
        <v>0</v>
      </c>
      <c r="I34" s="132">
        <f t="shared" si="7"/>
        <v>0</v>
      </c>
      <c r="J34" s="132">
        <f t="shared" si="7"/>
        <v>0</v>
      </c>
      <c r="K34" s="132">
        <f t="shared" si="7"/>
        <v>0</v>
      </c>
      <c r="L34" s="132">
        <f t="shared" si="7"/>
        <v>0</v>
      </c>
      <c r="M34" s="132">
        <f t="shared" si="7"/>
        <v>0</v>
      </c>
      <c r="N34" s="132">
        <f t="shared" si="7"/>
        <v>0</v>
      </c>
      <c r="O34" s="132">
        <f t="shared" si="7"/>
        <v>0</v>
      </c>
      <c r="P34" s="132">
        <f t="shared" si="7"/>
        <v>0</v>
      </c>
      <c r="Q34" s="132">
        <f t="shared" si="7"/>
        <v>0</v>
      </c>
      <c r="R34" s="132">
        <f t="shared" si="7"/>
        <v>0</v>
      </c>
      <c r="S34" s="132">
        <f t="shared" si="7"/>
        <v>0</v>
      </c>
      <c r="T34" s="132">
        <f t="shared" si="7"/>
        <v>0</v>
      </c>
      <c r="U34" s="37"/>
      <c r="V34" s="120"/>
      <c r="W34" s="120"/>
      <c r="X34" s="120"/>
    </row>
    <row r="35" spans="1:24" s="1" customFormat="1" ht="11.25" customHeight="1" x14ac:dyDescent="0.2">
      <c r="A35" s="220" t="s">
        <v>62</v>
      </c>
      <c r="B35" s="221"/>
      <c r="C35" s="221"/>
      <c r="D35" s="222"/>
      <c r="E35" s="153"/>
      <c r="F35" s="66">
        <f>F34/F37</f>
        <v>0</v>
      </c>
      <c r="G35" s="66">
        <f t="shared" ref="G35:T35" si="8">G34/G37</f>
        <v>0</v>
      </c>
      <c r="H35" s="66">
        <f t="shared" si="8"/>
        <v>0</v>
      </c>
      <c r="I35" s="66">
        <f t="shared" si="8"/>
        <v>0</v>
      </c>
      <c r="J35" s="66">
        <f t="shared" si="8"/>
        <v>0</v>
      </c>
      <c r="K35" s="66">
        <f t="shared" si="8"/>
        <v>0</v>
      </c>
      <c r="L35" s="66">
        <f t="shared" si="8"/>
        <v>0</v>
      </c>
      <c r="M35" s="66">
        <f t="shared" si="8"/>
        <v>0</v>
      </c>
      <c r="N35" s="66">
        <f t="shared" si="8"/>
        <v>0</v>
      </c>
      <c r="O35" s="66">
        <f t="shared" si="8"/>
        <v>0</v>
      </c>
      <c r="P35" s="66">
        <f t="shared" si="8"/>
        <v>0</v>
      </c>
      <c r="Q35" s="66">
        <f t="shared" si="8"/>
        <v>0</v>
      </c>
      <c r="R35" s="66">
        <f t="shared" si="8"/>
        <v>0</v>
      </c>
      <c r="S35" s="66">
        <f t="shared" si="8"/>
        <v>0</v>
      </c>
      <c r="T35" s="42">
        <f t="shared" si="8"/>
        <v>0</v>
      </c>
      <c r="U35" s="122"/>
      <c r="V35" s="120"/>
      <c r="W35" s="120"/>
      <c r="X35" s="120"/>
    </row>
    <row r="36" spans="1:24" s="1" customFormat="1" ht="11.25" customHeight="1" x14ac:dyDescent="0.2">
      <c r="A36" s="235" t="s">
        <v>61</v>
      </c>
      <c r="B36" s="236"/>
      <c r="C36" s="236"/>
      <c r="D36" s="237"/>
      <c r="E36" s="147"/>
      <c r="F36" s="38">
        <f t="shared" ref="F36:T36" si="9">SUM(F15,F28,F34)</f>
        <v>48.710666666666668</v>
      </c>
      <c r="G36" s="37">
        <f t="shared" si="9"/>
        <v>61.047333333333327</v>
      </c>
      <c r="H36" s="37">
        <f t="shared" si="9"/>
        <v>193.2406666666667</v>
      </c>
      <c r="I36" s="37">
        <f t="shared" si="9"/>
        <v>1516.9613333333334</v>
      </c>
      <c r="J36" s="38">
        <f t="shared" si="9"/>
        <v>0.95499999999999985</v>
      </c>
      <c r="K36" s="38">
        <f t="shared" si="9"/>
        <v>0.67933333333333334</v>
      </c>
      <c r="L36" s="37">
        <f t="shared" si="9"/>
        <v>46.673333333333332</v>
      </c>
      <c r="M36" s="38">
        <f t="shared" si="9"/>
        <v>0.19733333333333333</v>
      </c>
      <c r="N36" s="38">
        <f t="shared" si="9"/>
        <v>10.018000000000001</v>
      </c>
      <c r="O36" s="37">
        <f t="shared" si="9"/>
        <v>270.47000000000003</v>
      </c>
      <c r="P36" s="37">
        <f t="shared" si="9"/>
        <v>754.17133333333345</v>
      </c>
      <c r="Q36" s="38">
        <f t="shared" si="9"/>
        <v>7.7678800000000008</v>
      </c>
      <c r="R36" s="39">
        <f t="shared" si="9"/>
        <v>2.6140866666666662</v>
      </c>
      <c r="S36" s="38">
        <f t="shared" si="9"/>
        <v>248.73566666666667</v>
      </c>
      <c r="T36" s="38">
        <f t="shared" si="9"/>
        <v>12.895333333333333</v>
      </c>
      <c r="U36" s="40"/>
      <c r="V36" s="120"/>
      <c r="W36" s="120"/>
      <c r="X36" s="120"/>
    </row>
    <row r="37" spans="1:24" s="1" customFormat="1" ht="11.25" customHeight="1" x14ac:dyDescent="0.2">
      <c r="A37" s="235" t="s">
        <v>63</v>
      </c>
      <c r="B37" s="236"/>
      <c r="C37" s="236"/>
      <c r="D37" s="237"/>
      <c r="E37" s="147"/>
      <c r="F37" s="126">
        <v>90</v>
      </c>
      <c r="G37" s="124">
        <v>92</v>
      </c>
      <c r="H37" s="124">
        <v>383</v>
      </c>
      <c r="I37" s="124">
        <v>2720</v>
      </c>
      <c r="J37" s="126">
        <v>1.4</v>
      </c>
      <c r="K37" s="126">
        <v>1.6</v>
      </c>
      <c r="L37" s="125">
        <v>70</v>
      </c>
      <c r="M37" s="126">
        <v>0.9</v>
      </c>
      <c r="N37" s="125">
        <v>12</v>
      </c>
      <c r="O37" s="125">
        <v>1200</v>
      </c>
      <c r="P37" s="125">
        <v>1200</v>
      </c>
      <c r="Q37" s="125">
        <v>14</v>
      </c>
      <c r="R37" s="124">
        <v>0.1</v>
      </c>
      <c r="S37" s="125">
        <v>300</v>
      </c>
      <c r="T37" s="126">
        <v>18</v>
      </c>
      <c r="U37" s="128"/>
      <c r="V37" s="129"/>
      <c r="W37" s="129"/>
      <c r="X37" s="129"/>
    </row>
    <row r="38" spans="1:24" s="1" customFormat="1" ht="11.25" customHeight="1" x14ac:dyDescent="0.2">
      <c r="A38" s="220" t="s">
        <v>62</v>
      </c>
      <c r="B38" s="221"/>
      <c r="C38" s="221"/>
      <c r="D38" s="222"/>
      <c r="E38" s="153"/>
      <c r="F38" s="66">
        <f t="shared" ref="F38:T38" si="10">F36/F37</f>
        <v>0.54122962962962962</v>
      </c>
      <c r="G38" s="42">
        <f t="shared" si="10"/>
        <v>0.66355797101449265</v>
      </c>
      <c r="H38" s="42">
        <f t="shared" si="10"/>
        <v>0.50454482158398617</v>
      </c>
      <c r="I38" s="42">
        <f t="shared" si="10"/>
        <v>0.55770637254901967</v>
      </c>
      <c r="J38" s="42">
        <f t="shared" si="10"/>
        <v>0.68214285714285705</v>
      </c>
      <c r="K38" s="42">
        <f t="shared" si="10"/>
        <v>0.42458333333333331</v>
      </c>
      <c r="L38" s="42">
        <f t="shared" si="10"/>
        <v>0.66676190476190478</v>
      </c>
      <c r="M38" s="43">
        <f t="shared" si="10"/>
        <v>0.21925925925925926</v>
      </c>
      <c r="N38" s="43">
        <f t="shared" si="10"/>
        <v>0.83483333333333343</v>
      </c>
      <c r="O38" s="42">
        <f t="shared" si="10"/>
        <v>0.22539166666666668</v>
      </c>
      <c r="P38" s="42">
        <f t="shared" si="10"/>
        <v>0.62847611111111124</v>
      </c>
      <c r="Q38" s="42">
        <f t="shared" si="10"/>
        <v>0.55484857142857147</v>
      </c>
      <c r="R38" s="43">
        <f t="shared" si="10"/>
        <v>26.14086666666666</v>
      </c>
      <c r="S38" s="42">
        <f t="shared" si="10"/>
        <v>0.82911888888888896</v>
      </c>
      <c r="T38" s="43">
        <f t="shared" si="10"/>
        <v>0.71640740740740738</v>
      </c>
      <c r="U38" s="48"/>
      <c r="V38" s="49"/>
      <c r="W38" s="49"/>
      <c r="X38" s="49"/>
    </row>
    <row r="39" spans="1:24" s="84" customFormat="1" ht="13.5" customHeight="1" x14ac:dyDescent="0.2">
      <c r="A39" s="85"/>
      <c r="B39" s="85"/>
      <c r="C39" s="85"/>
      <c r="D39" s="85"/>
      <c r="E39" s="85"/>
      <c r="F39" s="93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6"/>
      <c r="W39" s="83"/>
      <c r="X39" s="83"/>
    </row>
  </sheetData>
  <autoFilter ref="B1:B39"/>
  <mergeCells count="44">
    <mergeCell ref="B10:C10"/>
    <mergeCell ref="B12:C12"/>
    <mergeCell ref="A38:D38"/>
    <mergeCell ref="A36:D36"/>
    <mergeCell ref="N4:Q4"/>
    <mergeCell ref="B21:C21"/>
    <mergeCell ref="B14:C14"/>
    <mergeCell ref="B23:C23"/>
    <mergeCell ref="A35:D35"/>
    <mergeCell ref="A37:D37"/>
    <mergeCell ref="B22:C22"/>
    <mergeCell ref="B32:C32"/>
    <mergeCell ref="B33:C33"/>
    <mergeCell ref="B24:C24"/>
    <mergeCell ref="N5:T5"/>
    <mergeCell ref="O6:T6"/>
    <mergeCell ref="A9:T9"/>
    <mergeCell ref="F6:H6"/>
    <mergeCell ref="I6:I7"/>
    <mergeCell ref="B8:C8"/>
    <mergeCell ref="A6:A7"/>
    <mergeCell ref="B20:C20"/>
    <mergeCell ref="A19:T19"/>
    <mergeCell ref="B25:C25"/>
    <mergeCell ref="B27:C27"/>
    <mergeCell ref="A31:T31"/>
    <mergeCell ref="B26:C26"/>
    <mergeCell ref="A29:D29"/>
    <mergeCell ref="B17:C17"/>
    <mergeCell ref="L5:M5"/>
    <mergeCell ref="X1:X5"/>
    <mergeCell ref="J6:N6"/>
    <mergeCell ref="M1:T1"/>
    <mergeCell ref="A2:T2"/>
    <mergeCell ref="G4:I4"/>
    <mergeCell ref="B6:C7"/>
    <mergeCell ref="U1:U5"/>
    <mergeCell ref="L4:M4"/>
    <mergeCell ref="D5:F5"/>
    <mergeCell ref="V1:V5"/>
    <mergeCell ref="D6:D7"/>
    <mergeCell ref="B13:C13"/>
    <mergeCell ref="A16:D16"/>
    <mergeCell ref="B11:C11"/>
  </mergeCells>
  <pageMargins left="0.7" right="0.7" top="0.75" bottom="0.75" header="0.3" footer="0.3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T46"/>
  <sheetViews>
    <sheetView tabSelected="1" view="pageBreakPreview" zoomScale="80" zoomScaleNormal="80" zoomScaleSheetLayoutView="80" workbookViewId="0">
      <selection activeCell="X12" sqref="X12"/>
    </sheetView>
  </sheetViews>
  <sheetFormatPr defaultRowHeight="11.25" x14ac:dyDescent="0.2"/>
  <cols>
    <col min="1" max="1" width="9.5" style="53" customWidth="1"/>
    <col min="2" max="2" width="16.33203125" style="53" customWidth="1"/>
    <col min="3" max="3" width="25.1640625" style="53" customWidth="1"/>
    <col min="4" max="4" width="8" style="4" customWidth="1"/>
    <col min="5" max="5" width="9.6640625" style="4" customWidth="1"/>
    <col min="6" max="6" width="9.83203125" style="94" customWidth="1"/>
    <col min="7" max="7" width="9.6640625" style="4" customWidth="1"/>
    <col min="8" max="8" width="8.5" style="4" customWidth="1"/>
    <col min="9" max="9" width="10" style="4" customWidth="1"/>
    <col min="10" max="10" width="9" style="4" customWidth="1"/>
    <col min="11" max="11" width="9.83203125" style="4" customWidth="1"/>
    <col min="12" max="12" width="8.83203125" style="4" customWidth="1"/>
    <col min="13" max="13" width="10.33203125" style="4" customWidth="1"/>
    <col min="14" max="14" width="9.5" style="4" customWidth="1"/>
    <col min="15" max="15" width="9.33203125" style="4" customWidth="1"/>
    <col min="16" max="17" width="9.1640625" style="4" customWidth="1"/>
    <col min="18" max="18" width="9" style="4" customWidth="1"/>
    <col min="19" max="19" width="9.5" style="4" customWidth="1"/>
    <col min="20" max="20" width="8.6640625" style="4" customWidth="1"/>
  </cols>
  <sheetData>
    <row r="1" spans="1:20" s="1" customFormat="1" ht="11.25" customHeight="1" x14ac:dyDescent="0.2">
      <c r="A1" s="54"/>
      <c r="B1" s="51"/>
      <c r="C1" s="51"/>
      <c r="D1" s="118"/>
      <c r="E1" s="118"/>
      <c r="F1" s="119"/>
      <c r="G1" s="118"/>
      <c r="H1" s="118"/>
      <c r="I1" s="118"/>
      <c r="J1" s="118"/>
      <c r="K1" s="118"/>
      <c r="L1" s="2"/>
      <c r="M1" s="206" t="s">
        <v>65</v>
      </c>
      <c r="N1" s="206"/>
      <c r="O1" s="206"/>
      <c r="P1" s="206"/>
      <c r="Q1" s="206"/>
      <c r="R1" s="206"/>
      <c r="S1" s="206"/>
      <c r="T1" s="206"/>
    </row>
    <row r="2" spans="1:20" s="1" customFormat="1" ht="15.75" customHeight="1" x14ac:dyDescent="0.25">
      <c r="A2" s="207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0" s="1" customFormat="1" ht="15.75" customHeight="1" x14ac:dyDescent="0.25">
      <c r="A3" s="195"/>
      <c r="B3" s="195"/>
      <c r="C3" s="195"/>
      <c r="D3" s="195"/>
      <c r="E3" s="195"/>
      <c r="F3" s="195"/>
      <c r="G3" s="195"/>
      <c r="H3" s="195" t="s">
        <v>119</v>
      </c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0" s="1" customFormat="1" ht="11.25" customHeight="1" x14ac:dyDescent="0.2">
      <c r="A4" s="55" t="s">
        <v>55</v>
      </c>
      <c r="B4" s="51"/>
      <c r="C4" s="51"/>
      <c r="D4" s="2"/>
      <c r="E4" s="2"/>
      <c r="F4" s="119"/>
      <c r="G4" s="208" t="s">
        <v>1</v>
      </c>
      <c r="H4" s="208"/>
      <c r="I4" s="208"/>
      <c r="J4" s="118"/>
      <c r="K4" s="118"/>
      <c r="L4" s="201" t="s">
        <v>2</v>
      </c>
      <c r="M4" s="201"/>
      <c r="N4" s="240"/>
      <c r="O4" s="240"/>
      <c r="P4" s="240"/>
      <c r="Q4" s="240"/>
      <c r="R4" s="118"/>
      <c r="S4" s="118"/>
      <c r="T4" s="118"/>
    </row>
    <row r="5" spans="1:20" s="1" customFormat="1" ht="11.25" customHeight="1" x14ac:dyDescent="0.2">
      <c r="A5" s="51"/>
      <c r="B5" s="51"/>
      <c r="C5" s="51"/>
      <c r="D5" s="201" t="s">
        <v>3</v>
      </c>
      <c r="E5" s="201"/>
      <c r="F5" s="201"/>
      <c r="G5" s="6">
        <v>1</v>
      </c>
      <c r="H5" s="118"/>
      <c r="I5" s="2"/>
      <c r="J5" s="2"/>
      <c r="K5" s="2"/>
      <c r="L5" s="201" t="s">
        <v>4</v>
      </c>
      <c r="M5" s="201"/>
      <c r="N5" s="208" t="s">
        <v>118</v>
      </c>
      <c r="O5" s="208"/>
      <c r="P5" s="208"/>
      <c r="Q5" s="208"/>
      <c r="R5" s="208"/>
      <c r="S5" s="208"/>
      <c r="T5" s="208"/>
    </row>
    <row r="6" spans="1:20" s="1" customFormat="1" ht="11.25" customHeight="1" x14ac:dyDescent="0.2">
      <c r="A6" s="249" t="s">
        <v>44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1:20" s="1" customFormat="1" ht="11.25" customHeight="1" x14ac:dyDescent="0.2">
      <c r="A7" s="55" t="s">
        <v>55</v>
      </c>
      <c r="B7" s="51"/>
      <c r="C7" s="51"/>
      <c r="D7" s="2"/>
      <c r="E7" s="2"/>
      <c r="F7" s="119"/>
      <c r="G7" s="208" t="s">
        <v>39</v>
      </c>
      <c r="H7" s="208"/>
      <c r="I7" s="208"/>
      <c r="J7" s="118"/>
      <c r="K7" s="118"/>
      <c r="L7" s="201" t="s">
        <v>2</v>
      </c>
      <c r="M7" s="201"/>
      <c r="N7" s="240"/>
      <c r="O7" s="240"/>
      <c r="P7" s="240"/>
      <c r="Q7" s="240"/>
      <c r="R7" s="118"/>
      <c r="S7" s="118"/>
      <c r="T7" s="118"/>
    </row>
    <row r="8" spans="1:20" s="1" customFormat="1" ht="11.25" customHeight="1" x14ac:dyDescent="0.2">
      <c r="A8" s="51"/>
      <c r="B8" s="51"/>
      <c r="C8" s="51"/>
      <c r="D8" s="201" t="s">
        <v>3</v>
      </c>
      <c r="E8" s="201"/>
      <c r="F8" s="201"/>
      <c r="G8" s="6">
        <v>2</v>
      </c>
      <c r="H8" s="118"/>
      <c r="I8" s="2"/>
      <c r="J8" s="2"/>
      <c r="K8" s="2"/>
      <c r="L8" s="201" t="s">
        <v>4</v>
      </c>
      <c r="M8" s="201"/>
      <c r="N8" s="208" t="s">
        <v>118</v>
      </c>
      <c r="O8" s="208"/>
      <c r="P8" s="208"/>
      <c r="Q8" s="208"/>
      <c r="R8" s="208"/>
      <c r="S8" s="208"/>
      <c r="T8" s="208"/>
    </row>
    <row r="9" spans="1:20" s="1" customFormat="1" ht="21.75" customHeight="1" x14ac:dyDescent="0.2">
      <c r="A9" s="217" t="s">
        <v>5</v>
      </c>
      <c r="B9" s="217" t="s">
        <v>6</v>
      </c>
      <c r="C9" s="217"/>
      <c r="D9" s="217" t="s">
        <v>7</v>
      </c>
      <c r="E9" s="196"/>
      <c r="F9" s="203" t="s">
        <v>8</v>
      </c>
      <c r="G9" s="204"/>
      <c r="H9" s="205"/>
      <c r="I9" s="217" t="s">
        <v>9</v>
      </c>
      <c r="J9" s="251" t="s">
        <v>10</v>
      </c>
      <c r="K9" s="251"/>
      <c r="L9" s="251"/>
      <c r="M9" s="251"/>
      <c r="N9" s="251"/>
      <c r="O9" s="251" t="s">
        <v>11</v>
      </c>
      <c r="P9" s="251"/>
      <c r="Q9" s="251"/>
      <c r="R9" s="251"/>
      <c r="S9" s="251"/>
      <c r="T9" s="251"/>
    </row>
    <row r="10" spans="1:20" s="1" customFormat="1" ht="21" customHeight="1" x14ac:dyDescent="0.2">
      <c r="A10" s="218"/>
      <c r="B10" s="211"/>
      <c r="C10" s="212"/>
      <c r="D10" s="218"/>
      <c r="E10" s="190">
        <v>10</v>
      </c>
      <c r="F10" s="89" t="s">
        <v>12</v>
      </c>
      <c r="G10" s="197" t="s">
        <v>13</v>
      </c>
      <c r="H10" s="197" t="s">
        <v>14</v>
      </c>
      <c r="I10" s="218"/>
      <c r="J10" s="197" t="s">
        <v>15</v>
      </c>
      <c r="K10" s="197" t="s">
        <v>57</v>
      </c>
      <c r="L10" s="197" t="s">
        <v>16</v>
      </c>
      <c r="M10" s="197" t="s">
        <v>17</v>
      </c>
      <c r="N10" s="197" t="s">
        <v>18</v>
      </c>
      <c r="O10" s="197" t="s">
        <v>19</v>
      </c>
      <c r="P10" s="197" t="s">
        <v>20</v>
      </c>
      <c r="Q10" s="197" t="s">
        <v>58</v>
      </c>
      <c r="R10" s="197" t="s">
        <v>59</v>
      </c>
      <c r="S10" s="197" t="s">
        <v>21</v>
      </c>
      <c r="T10" s="197" t="s">
        <v>22</v>
      </c>
    </row>
    <row r="11" spans="1:20" s="1" customFormat="1" ht="11.25" customHeight="1" x14ac:dyDescent="0.2">
      <c r="A11" s="198">
        <v>1</v>
      </c>
      <c r="B11" s="252">
        <v>2</v>
      </c>
      <c r="C11" s="252"/>
      <c r="D11" s="36">
        <v>3</v>
      </c>
      <c r="E11" s="36"/>
      <c r="F11" s="36">
        <v>4</v>
      </c>
      <c r="G11" s="36">
        <v>5</v>
      </c>
      <c r="H11" s="36">
        <v>6</v>
      </c>
      <c r="I11" s="36">
        <v>7</v>
      </c>
      <c r="J11" s="36">
        <v>8</v>
      </c>
      <c r="K11" s="36">
        <v>9</v>
      </c>
      <c r="L11" s="36">
        <v>10</v>
      </c>
      <c r="M11" s="36">
        <v>11</v>
      </c>
      <c r="N11" s="36">
        <v>12</v>
      </c>
      <c r="O11" s="36">
        <v>13</v>
      </c>
      <c r="P11" s="36">
        <v>14</v>
      </c>
      <c r="Q11" s="36">
        <v>15</v>
      </c>
      <c r="R11" s="36">
        <v>16</v>
      </c>
      <c r="S11" s="36">
        <v>17</v>
      </c>
      <c r="T11" s="36">
        <v>18</v>
      </c>
    </row>
    <row r="12" spans="1:20" s="1" customFormat="1" ht="11.25" customHeight="1" x14ac:dyDescent="0.2">
      <c r="A12" s="227" t="s">
        <v>26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9"/>
    </row>
    <row r="13" spans="1:20" s="1" customFormat="1" ht="11.25" customHeight="1" x14ac:dyDescent="0.2">
      <c r="A13" s="71">
        <v>131</v>
      </c>
      <c r="B13" s="231" t="s">
        <v>77</v>
      </c>
      <c r="C13" s="232"/>
      <c r="D13" s="125">
        <v>30</v>
      </c>
      <c r="E13" s="126">
        <v>6.45</v>
      </c>
      <c r="F13" s="126">
        <f>4.6*D13/20</f>
        <v>6.9</v>
      </c>
      <c r="G13" s="123">
        <f>0.24*D13/20</f>
        <v>0.36</v>
      </c>
      <c r="H13" s="126">
        <f>10.66*D13/20</f>
        <v>15.99</v>
      </c>
      <c r="I13" s="126">
        <f t="shared" ref="I13:I18" si="0">F13*4+G13*9+H13*4</f>
        <v>94.8</v>
      </c>
      <c r="J13" s="123">
        <f>0.16*D13/20</f>
        <v>0.24</v>
      </c>
      <c r="K13" s="123">
        <f>0.04*D13/20</f>
        <v>0.06</v>
      </c>
      <c r="L13" s="125">
        <v>0</v>
      </c>
      <c r="M13" s="127">
        <f>0.002*D13/20</f>
        <v>3.0000000000000001E-3</v>
      </c>
      <c r="N13" s="123">
        <f>1.82*D13/20</f>
        <v>2.73</v>
      </c>
      <c r="O13" s="124">
        <f>23*D13/20</f>
        <v>34.5</v>
      </c>
      <c r="P13" s="124">
        <f>65.8*D13/20</f>
        <v>98.7</v>
      </c>
      <c r="Q13" s="126">
        <f>0.64*D13/20</f>
        <v>0.96</v>
      </c>
      <c r="R13" s="127">
        <f>0.00102*D13/20</f>
        <v>1.5300000000000001E-3</v>
      </c>
      <c r="S13" s="124">
        <f>21.4*D13/20</f>
        <v>32.1</v>
      </c>
      <c r="T13" s="127">
        <f>0.004*D13/20</f>
        <v>6.0000000000000001E-3</v>
      </c>
    </row>
    <row r="14" spans="1:20" s="118" customFormat="1" ht="15" customHeight="1" x14ac:dyDescent="0.2">
      <c r="A14" s="99">
        <v>15</v>
      </c>
      <c r="B14" s="231" t="s">
        <v>74</v>
      </c>
      <c r="C14" s="232"/>
      <c r="D14" s="125">
        <v>20</v>
      </c>
      <c r="E14" s="126">
        <v>12.8</v>
      </c>
      <c r="F14" s="126">
        <f>2.32*D14/10</f>
        <v>4.6399999999999997</v>
      </c>
      <c r="G14" s="126">
        <f>3.4*D14/10</f>
        <v>6.8</v>
      </c>
      <c r="H14" s="126">
        <f>0.01*D14/10</f>
        <v>0.02</v>
      </c>
      <c r="I14" s="126">
        <f t="shared" si="0"/>
        <v>79.839999999999989</v>
      </c>
      <c r="J14" s="126">
        <f>0.004*D14/10</f>
        <v>8.0000000000000002E-3</v>
      </c>
      <c r="K14" s="126">
        <f>0.03*D14/10</f>
        <v>0.06</v>
      </c>
      <c r="L14" s="126">
        <f>0.07*D14/10</f>
        <v>0.14000000000000001</v>
      </c>
      <c r="M14" s="127">
        <f>0.023*D14/10</f>
        <v>4.5999999999999999E-2</v>
      </c>
      <c r="N14" s="126">
        <f>0.05*D14/10</f>
        <v>0.1</v>
      </c>
      <c r="O14" s="126">
        <f>88*D14/10</f>
        <v>176</v>
      </c>
      <c r="P14" s="126">
        <f>50*D14/10</f>
        <v>100</v>
      </c>
      <c r="Q14" s="126">
        <f>0.4*D14/10</f>
        <v>0.8</v>
      </c>
      <c r="R14" s="127">
        <f>0.02*D14/10</f>
        <v>0.04</v>
      </c>
      <c r="S14" s="126">
        <f>3.5*D14/10</f>
        <v>7</v>
      </c>
      <c r="T14" s="126">
        <f>0.13*D14/10</f>
        <v>0.26</v>
      </c>
    </row>
    <row r="15" spans="1:20" s="118" customFormat="1" ht="12.75" customHeight="1" x14ac:dyDescent="0.2">
      <c r="A15" s="198">
        <v>210</v>
      </c>
      <c r="B15" s="231" t="s">
        <v>48</v>
      </c>
      <c r="C15" s="232"/>
      <c r="D15" s="125">
        <v>250</v>
      </c>
      <c r="E15" s="126">
        <v>31.45</v>
      </c>
      <c r="F15" s="126">
        <f>16.29*D15/200</f>
        <v>20.362500000000001</v>
      </c>
      <c r="G15" s="126">
        <f>18.99*D15/200</f>
        <v>23.737500000000001</v>
      </c>
      <c r="H15" s="126">
        <f>5.04*D15/200</f>
        <v>6.3</v>
      </c>
      <c r="I15" s="126">
        <f t="shared" si="0"/>
        <v>320.28750000000002</v>
      </c>
      <c r="J15" s="126">
        <f>0.117*D15/200</f>
        <v>0.14624999999999999</v>
      </c>
      <c r="K15" s="126">
        <f>0.27*D15/200</f>
        <v>0.33750000000000002</v>
      </c>
      <c r="L15" s="126">
        <f>0.324*D15/200</f>
        <v>0.40500000000000003</v>
      </c>
      <c r="M15" s="126">
        <f>0.036*D15/200</f>
        <v>4.4999999999999998E-2</v>
      </c>
      <c r="N15" s="123">
        <f>1.94*D15/200</f>
        <v>2.4249999999999998</v>
      </c>
      <c r="O15" s="126">
        <f>131.38*D15/200</f>
        <v>164.22499999999999</v>
      </c>
      <c r="P15" s="126">
        <f>248.5*D15/200</f>
        <v>310.625</v>
      </c>
      <c r="Q15" s="126">
        <f>1.35*D15/200</f>
        <v>1.6875</v>
      </c>
      <c r="R15" s="126">
        <f>0.03*D15/200</f>
        <v>3.7499999999999999E-2</v>
      </c>
      <c r="S15" s="126">
        <f>21.55*D15/200</f>
        <v>26.9375</v>
      </c>
      <c r="T15" s="126">
        <f>1.51*D15/200</f>
        <v>1.8875</v>
      </c>
    </row>
    <row r="16" spans="1:20" s="118" customFormat="1" x14ac:dyDescent="0.2">
      <c r="A16" s="63">
        <v>338</v>
      </c>
      <c r="B16" s="231" t="s">
        <v>106</v>
      </c>
      <c r="C16" s="232"/>
      <c r="D16" s="125">
        <v>100</v>
      </c>
      <c r="E16" s="126">
        <v>12.59</v>
      </c>
      <c r="F16" s="126">
        <v>0.9</v>
      </c>
      <c r="G16" s="123">
        <v>0.2</v>
      </c>
      <c r="H16" s="124">
        <v>8.1</v>
      </c>
      <c r="I16" s="126">
        <f t="shared" si="0"/>
        <v>37.799999999999997</v>
      </c>
      <c r="J16" s="126">
        <v>0.04</v>
      </c>
      <c r="K16" s="126">
        <v>0.03</v>
      </c>
      <c r="L16" s="126">
        <v>60</v>
      </c>
      <c r="M16" s="126">
        <v>8.0000000000000002E-3</v>
      </c>
      <c r="N16" s="123">
        <v>0.2</v>
      </c>
      <c r="O16" s="126">
        <v>34</v>
      </c>
      <c r="P16" s="126">
        <v>23</v>
      </c>
      <c r="Q16" s="127">
        <v>0.2</v>
      </c>
      <c r="R16" s="126">
        <v>2E-3</v>
      </c>
      <c r="S16" s="126">
        <v>15</v>
      </c>
      <c r="T16" s="126">
        <v>0.3</v>
      </c>
    </row>
    <row r="17" spans="1:20" s="118" customFormat="1" ht="11.25" customHeight="1" x14ac:dyDescent="0.2">
      <c r="A17" s="198">
        <v>377</v>
      </c>
      <c r="B17" s="219" t="s">
        <v>45</v>
      </c>
      <c r="C17" s="219"/>
      <c r="D17" s="125">
        <v>200</v>
      </c>
      <c r="E17" s="126">
        <v>3.61</v>
      </c>
      <c r="F17" s="126">
        <v>0.26</v>
      </c>
      <c r="G17" s="126">
        <v>0.06</v>
      </c>
      <c r="H17" s="126">
        <v>15.22</v>
      </c>
      <c r="I17" s="126">
        <f t="shared" si="0"/>
        <v>62.46</v>
      </c>
      <c r="J17" s="126"/>
      <c r="K17" s="126">
        <v>0.01</v>
      </c>
      <c r="L17" s="126">
        <v>2.9</v>
      </c>
      <c r="M17" s="123">
        <v>0</v>
      </c>
      <c r="N17" s="126">
        <v>0.06</v>
      </c>
      <c r="O17" s="126">
        <v>8.0500000000000007</v>
      </c>
      <c r="P17" s="126">
        <v>9.7799999999999994</v>
      </c>
      <c r="Q17" s="126">
        <v>1.7000000000000001E-2</v>
      </c>
      <c r="R17" s="127">
        <v>0</v>
      </c>
      <c r="S17" s="126">
        <v>5.24</v>
      </c>
      <c r="T17" s="126">
        <v>0.87</v>
      </c>
    </row>
    <row r="18" spans="1:20" s="118" customFormat="1" ht="12.75" customHeight="1" x14ac:dyDescent="0.2">
      <c r="A18" s="131" t="s">
        <v>66</v>
      </c>
      <c r="B18" s="231" t="s">
        <v>53</v>
      </c>
      <c r="C18" s="232"/>
      <c r="D18" s="125">
        <v>40</v>
      </c>
      <c r="E18" s="126">
        <v>3.1</v>
      </c>
      <c r="F18" s="126">
        <f>1.52*D18/30</f>
        <v>2.0266666666666664</v>
      </c>
      <c r="G18" s="127">
        <f>0.16*D18/30</f>
        <v>0.21333333333333335</v>
      </c>
      <c r="H18" s="127">
        <f>9.84*D18/30</f>
        <v>13.120000000000001</v>
      </c>
      <c r="I18" s="127">
        <f t="shared" si="0"/>
        <v>62.506666666666668</v>
      </c>
      <c r="J18" s="127">
        <f>0.02*D18/30</f>
        <v>2.6666666666666668E-2</v>
      </c>
      <c r="K18" s="127">
        <f>0.01*D18/30</f>
        <v>1.3333333333333334E-2</v>
      </c>
      <c r="L18" s="127">
        <f>0.44*D18/30</f>
        <v>0.58666666666666667</v>
      </c>
      <c r="M18" s="127">
        <v>0</v>
      </c>
      <c r="N18" s="127">
        <f>0.7*D18/30</f>
        <v>0.93333333333333335</v>
      </c>
      <c r="O18" s="127">
        <f>4*D18/30</f>
        <v>5.333333333333333</v>
      </c>
      <c r="P18" s="127">
        <f>13*D18/30</f>
        <v>17.333333333333332</v>
      </c>
      <c r="Q18" s="127">
        <f>0.008*D18/30</f>
        <v>1.0666666666666666E-2</v>
      </c>
      <c r="R18" s="127">
        <f>0.001*D18/30</f>
        <v>1.3333333333333333E-3</v>
      </c>
      <c r="S18" s="127">
        <v>0</v>
      </c>
      <c r="T18" s="127">
        <f>0.22*D18/30</f>
        <v>0.29333333333333333</v>
      </c>
    </row>
    <row r="19" spans="1:20" s="118" customFormat="1" ht="11.25" customHeight="1" x14ac:dyDescent="0.2">
      <c r="A19" s="58" t="s">
        <v>27</v>
      </c>
      <c r="B19" s="59"/>
      <c r="C19" s="59"/>
      <c r="D19" s="62">
        <f>SUM(D13:D18)</f>
        <v>640</v>
      </c>
      <c r="E19" s="132">
        <f>SUM(E13:E18)</f>
        <v>70</v>
      </c>
      <c r="F19" s="38">
        <f t="shared" ref="F19:T19" si="1">SUM(F13:F18)</f>
        <v>35.089166666666664</v>
      </c>
      <c r="G19" s="46">
        <f t="shared" si="1"/>
        <v>31.370833333333334</v>
      </c>
      <c r="H19" s="46">
        <f t="shared" si="1"/>
        <v>58.75</v>
      </c>
      <c r="I19" s="37">
        <f t="shared" si="1"/>
        <v>657.69416666666666</v>
      </c>
      <c r="J19" s="38">
        <f t="shared" si="1"/>
        <v>0.46091666666666664</v>
      </c>
      <c r="K19" s="38">
        <f t="shared" si="1"/>
        <v>0.51083333333333336</v>
      </c>
      <c r="L19" s="38">
        <f t="shared" si="1"/>
        <v>64.031666666666666</v>
      </c>
      <c r="M19" s="38">
        <f t="shared" si="1"/>
        <v>0.10200000000000001</v>
      </c>
      <c r="N19" s="37">
        <f t="shared" si="1"/>
        <v>6.4483333333333333</v>
      </c>
      <c r="O19" s="37">
        <f t="shared" si="1"/>
        <v>422.10833333333335</v>
      </c>
      <c r="P19" s="37">
        <f t="shared" si="1"/>
        <v>559.43833333333339</v>
      </c>
      <c r="Q19" s="37">
        <f t="shared" si="1"/>
        <v>3.6751666666666667</v>
      </c>
      <c r="R19" s="38">
        <f t="shared" si="1"/>
        <v>8.236333333333333E-2</v>
      </c>
      <c r="S19" s="37">
        <f t="shared" si="1"/>
        <v>86.277499999999989</v>
      </c>
      <c r="T19" s="38">
        <f t="shared" si="1"/>
        <v>3.6168333333333336</v>
      </c>
    </row>
    <row r="20" spans="1:20" s="118" customFormat="1" ht="11.25" customHeight="1" x14ac:dyDescent="0.2">
      <c r="A20" s="220" t="s">
        <v>62</v>
      </c>
      <c r="B20" s="221"/>
      <c r="C20" s="221"/>
      <c r="D20" s="222"/>
      <c r="E20" s="187"/>
      <c r="F20" s="133">
        <f t="shared" ref="F20:T20" si="2">F19/F39</f>
        <v>0.38987962962962958</v>
      </c>
      <c r="G20" s="42">
        <f t="shared" si="2"/>
        <v>0.3409873188405797</v>
      </c>
      <c r="H20" s="42">
        <f t="shared" si="2"/>
        <v>0.15339425587467362</v>
      </c>
      <c r="I20" s="42">
        <f t="shared" si="2"/>
        <v>0.24179932598039217</v>
      </c>
      <c r="J20" s="42">
        <f t="shared" si="2"/>
        <v>0.32922619047619051</v>
      </c>
      <c r="K20" s="42">
        <f t="shared" si="2"/>
        <v>0.31927083333333334</v>
      </c>
      <c r="L20" s="42">
        <f t="shared" si="2"/>
        <v>0.91473809523809524</v>
      </c>
      <c r="M20" s="42">
        <f t="shared" si="2"/>
        <v>0.11333333333333334</v>
      </c>
      <c r="N20" s="42">
        <f t="shared" si="2"/>
        <v>0.53736111111111107</v>
      </c>
      <c r="O20" s="42">
        <f t="shared" si="2"/>
        <v>0.35175694444444444</v>
      </c>
      <c r="P20" s="42">
        <f t="shared" si="2"/>
        <v>0.46619861111111116</v>
      </c>
      <c r="Q20" s="42">
        <f t="shared" si="2"/>
        <v>0.26251190476190478</v>
      </c>
      <c r="R20" s="42">
        <f t="shared" si="2"/>
        <v>0.82363333333333322</v>
      </c>
      <c r="S20" s="42">
        <f t="shared" si="2"/>
        <v>0.28759166666666663</v>
      </c>
      <c r="T20" s="42">
        <f t="shared" si="2"/>
        <v>0.20093518518518519</v>
      </c>
    </row>
    <row r="21" spans="1:20" s="118" customFormat="1" ht="11.25" customHeight="1" x14ac:dyDescent="0.2">
      <c r="A21" s="186"/>
      <c r="B21" s="187"/>
      <c r="C21" s="187"/>
      <c r="D21" s="187"/>
      <c r="E21" s="145">
        <f>70-E19</f>
        <v>0</v>
      </c>
      <c r="F21" s="13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4"/>
    </row>
    <row r="22" spans="1:20" s="118" customFormat="1" ht="11.25" customHeight="1" x14ac:dyDescent="0.2">
      <c r="A22" s="227" t="s">
        <v>28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</row>
    <row r="23" spans="1:20" s="118" customFormat="1" ht="22.5" customHeight="1" x14ac:dyDescent="0.2">
      <c r="A23" s="198">
        <v>56</v>
      </c>
      <c r="B23" s="219" t="s">
        <v>109</v>
      </c>
      <c r="C23" s="219"/>
      <c r="D23" s="125">
        <v>100</v>
      </c>
      <c r="E23" s="126">
        <v>7.39</v>
      </c>
      <c r="F23" s="126">
        <f>0.9*D23/60</f>
        <v>1.5</v>
      </c>
      <c r="G23" s="124">
        <f>3.1*D23/60</f>
        <v>5.166666666666667</v>
      </c>
      <c r="H23" s="124">
        <f>5.6*D23/60</f>
        <v>9.3333333333333339</v>
      </c>
      <c r="I23" s="126">
        <f t="shared" ref="I23:I29" si="3">F23*4+G23*9+H23*4</f>
        <v>89.833333333333343</v>
      </c>
      <c r="J23" s="127">
        <f>0.1*D23/60</f>
        <v>0.16666666666666666</v>
      </c>
      <c r="K23" s="127">
        <f>0.1*D23/60</f>
        <v>0.16666666666666666</v>
      </c>
      <c r="L23" s="126">
        <f>12.3*D23/60</f>
        <v>20.5</v>
      </c>
      <c r="M23" s="127">
        <f>0.02*D23/60</f>
        <v>3.3333333333333333E-2</v>
      </c>
      <c r="N23" s="127">
        <f>0.5*D23/60</f>
        <v>0.83333333333333337</v>
      </c>
      <c r="O23" s="124">
        <f>59.9*D23/60</f>
        <v>99.833333333333329</v>
      </c>
      <c r="P23" s="124">
        <f>31.3*D23/60</f>
        <v>52.166666666666664</v>
      </c>
      <c r="Q23" s="130">
        <f>0.4228*D23/60</f>
        <v>0.70466666666666666</v>
      </c>
      <c r="R23" s="127">
        <f>0.003*D23/60</f>
        <v>5.0000000000000001E-3</v>
      </c>
      <c r="S23" s="124">
        <f>16.3*D23/60</f>
        <v>27.166666666666668</v>
      </c>
      <c r="T23" s="126">
        <f>0.7*D23/60</f>
        <v>1.1666666666666667</v>
      </c>
    </row>
    <row r="24" spans="1:20" s="118" customFormat="1" ht="22.5" customHeight="1" x14ac:dyDescent="0.2">
      <c r="A24" s="198">
        <v>102</v>
      </c>
      <c r="B24" s="231" t="s">
        <v>90</v>
      </c>
      <c r="C24" s="232"/>
      <c r="D24" s="123">
        <v>250</v>
      </c>
      <c r="E24" s="126">
        <v>10.220000000000001</v>
      </c>
      <c r="F24" s="126">
        <v>6.22</v>
      </c>
      <c r="G24" s="126">
        <v>3.99</v>
      </c>
      <c r="H24" s="126">
        <v>21.73</v>
      </c>
      <c r="I24" s="126">
        <f t="shared" si="3"/>
        <v>147.71</v>
      </c>
      <c r="J24" s="126">
        <v>0.27</v>
      </c>
      <c r="K24" s="126">
        <v>0.09</v>
      </c>
      <c r="L24" s="126">
        <v>9</v>
      </c>
      <c r="M24" s="127">
        <v>1E-3</v>
      </c>
      <c r="N24" s="126">
        <v>0.25700000000000001</v>
      </c>
      <c r="O24" s="126">
        <v>54.13</v>
      </c>
      <c r="P24" s="126">
        <v>183.2</v>
      </c>
      <c r="Q24" s="126">
        <v>1.157</v>
      </c>
      <c r="R24" s="127">
        <v>1.2999999999999999E-2</v>
      </c>
      <c r="S24" s="126">
        <v>49.63</v>
      </c>
      <c r="T24" s="126">
        <v>1.03</v>
      </c>
    </row>
    <row r="25" spans="1:20" s="118" customFormat="1" ht="23.25" customHeight="1" x14ac:dyDescent="0.2">
      <c r="A25" s="198">
        <v>266</v>
      </c>
      <c r="B25" s="231" t="s">
        <v>86</v>
      </c>
      <c r="C25" s="232"/>
      <c r="D25" s="125">
        <v>100</v>
      </c>
      <c r="E25" s="126">
        <v>44.81</v>
      </c>
      <c r="F25" s="126">
        <v>16.68</v>
      </c>
      <c r="G25" s="126">
        <v>23.27</v>
      </c>
      <c r="H25" s="126">
        <v>4.28</v>
      </c>
      <c r="I25" s="126">
        <v>293</v>
      </c>
      <c r="J25" s="126">
        <v>0.20300000000000001</v>
      </c>
      <c r="K25" s="126">
        <v>0.23</v>
      </c>
      <c r="L25" s="126">
        <v>0.48</v>
      </c>
      <c r="M25" s="126">
        <f>0.04*D25/80</f>
        <v>0.05</v>
      </c>
      <c r="N25" s="123">
        <v>6.8000000000000005E-2</v>
      </c>
      <c r="O25" s="124">
        <v>54.5</v>
      </c>
      <c r="P25" s="124">
        <v>200.14</v>
      </c>
      <c r="Q25" s="126">
        <v>2.56</v>
      </c>
      <c r="R25" s="127">
        <f>0.04*D25/80</f>
        <v>0.05</v>
      </c>
      <c r="S25" s="124">
        <v>27.5</v>
      </c>
      <c r="T25" s="126">
        <v>2.17</v>
      </c>
    </row>
    <row r="26" spans="1:20" s="118" customFormat="1" ht="12.75" customHeight="1" x14ac:dyDescent="0.2">
      <c r="A26" s="131">
        <v>171</v>
      </c>
      <c r="B26" s="231" t="s">
        <v>24</v>
      </c>
      <c r="C26" s="232"/>
      <c r="D26" s="125">
        <v>180</v>
      </c>
      <c r="E26" s="126">
        <v>13.8</v>
      </c>
      <c r="F26" s="126">
        <f>6.57*D26/150</f>
        <v>7.8840000000000012</v>
      </c>
      <c r="G26" s="126">
        <f>4.19*D26/150</f>
        <v>5.0280000000000005</v>
      </c>
      <c r="H26" s="126">
        <f>32.32*D26/150</f>
        <v>38.783999999999999</v>
      </c>
      <c r="I26" s="126">
        <f t="shared" si="3"/>
        <v>231.92400000000001</v>
      </c>
      <c r="J26" s="127">
        <f>0.06*D26/150</f>
        <v>7.1999999999999995E-2</v>
      </c>
      <c r="K26" s="127">
        <f>0.03*D26/150</f>
        <v>3.5999999999999997E-2</v>
      </c>
      <c r="L26" s="123">
        <v>0</v>
      </c>
      <c r="M26" s="127">
        <f>0.03*D26/150</f>
        <v>3.5999999999999997E-2</v>
      </c>
      <c r="N26" s="123">
        <f>2.55*D26/150</f>
        <v>3.0599999999999996</v>
      </c>
      <c r="O26" s="126">
        <f>18.12*D26/150</f>
        <v>21.744000000000003</v>
      </c>
      <c r="P26" s="126">
        <f>157.03*D26/150</f>
        <v>188.43600000000001</v>
      </c>
      <c r="Q26" s="127">
        <f>0.8874*D26/150</f>
        <v>1.06488</v>
      </c>
      <c r="R26" s="127">
        <f>0.00135*D26/150</f>
        <v>1.6200000000000001E-3</v>
      </c>
      <c r="S26" s="126">
        <f>104.45*D26/150</f>
        <v>125.34</v>
      </c>
      <c r="T26" s="126">
        <f>3.55*D26/150</f>
        <v>4.26</v>
      </c>
    </row>
    <row r="27" spans="1:20" x14ac:dyDescent="0.2">
      <c r="A27" s="161">
        <v>699</v>
      </c>
      <c r="B27" s="241" t="s">
        <v>108</v>
      </c>
      <c r="C27" s="242"/>
      <c r="D27" s="162">
        <v>200</v>
      </c>
      <c r="E27" s="163">
        <v>7.5</v>
      </c>
      <c r="F27" s="163">
        <v>0.1</v>
      </c>
      <c r="G27" s="164">
        <v>0</v>
      </c>
      <c r="H27" s="165">
        <v>15.7</v>
      </c>
      <c r="I27" s="163">
        <v>63.2</v>
      </c>
      <c r="J27" s="164">
        <v>1.7999999999999999E-2</v>
      </c>
      <c r="K27" s="164">
        <v>1.2E-2</v>
      </c>
      <c r="L27" s="165">
        <v>8</v>
      </c>
      <c r="M27" s="164">
        <v>0</v>
      </c>
      <c r="N27" s="163">
        <v>0.2</v>
      </c>
      <c r="O27" s="163">
        <v>10.8</v>
      </c>
      <c r="P27" s="163">
        <v>1.7</v>
      </c>
      <c r="Q27" s="163">
        <v>0</v>
      </c>
      <c r="R27" s="166">
        <v>0</v>
      </c>
      <c r="S27" s="163">
        <v>5.8</v>
      </c>
      <c r="T27" s="163">
        <v>1.6</v>
      </c>
    </row>
    <row r="28" spans="1:20" s="118" customFormat="1" ht="11.25" customHeight="1" x14ac:dyDescent="0.2">
      <c r="A28" s="67" t="s">
        <v>66</v>
      </c>
      <c r="B28" s="231" t="s">
        <v>46</v>
      </c>
      <c r="C28" s="232"/>
      <c r="D28" s="125">
        <v>50</v>
      </c>
      <c r="E28" s="126">
        <v>2.4300000000000002</v>
      </c>
      <c r="F28" s="126">
        <f>2.64*D28/40</f>
        <v>3.3</v>
      </c>
      <c r="G28" s="126">
        <f>0.48*D28/40</f>
        <v>0.6</v>
      </c>
      <c r="H28" s="126">
        <f>13.68*D28/40</f>
        <v>17.100000000000001</v>
      </c>
      <c r="I28" s="124">
        <f t="shared" si="3"/>
        <v>87</v>
      </c>
      <c r="J28" s="123">
        <f>0.08*D28/40</f>
        <v>0.1</v>
      </c>
      <c r="K28" s="126">
        <f>0.04*D28/40</f>
        <v>0.05</v>
      </c>
      <c r="L28" s="125">
        <v>0</v>
      </c>
      <c r="M28" s="125">
        <v>0</v>
      </c>
      <c r="N28" s="126">
        <f>2.4*D28/40</f>
        <v>3</v>
      </c>
      <c r="O28" s="126">
        <f>14*D28/40</f>
        <v>17.5</v>
      </c>
      <c r="P28" s="126">
        <f>63.2*D28/40</f>
        <v>79</v>
      </c>
      <c r="Q28" s="126">
        <f>1.2*D28/40</f>
        <v>1.5</v>
      </c>
      <c r="R28" s="127">
        <f>0.001*D28/40</f>
        <v>1.25E-3</v>
      </c>
      <c r="S28" s="126">
        <f>9.4*D28/40</f>
        <v>11.75</v>
      </c>
      <c r="T28" s="123">
        <f>0.78*D28/40</f>
        <v>0.97499999999999998</v>
      </c>
    </row>
    <row r="29" spans="1:20" s="118" customFormat="1" ht="11.25" customHeight="1" x14ac:dyDescent="0.2">
      <c r="A29" s="131" t="s">
        <v>66</v>
      </c>
      <c r="B29" s="231" t="s">
        <v>53</v>
      </c>
      <c r="C29" s="232"/>
      <c r="D29" s="125">
        <v>50</v>
      </c>
      <c r="E29" s="126">
        <v>3.85</v>
      </c>
      <c r="F29" s="126">
        <f>1.52*D29/30</f>
        <v>2.5333333333333332</v>
      </c>
      <c r="G29" s="127">
        <f>0.16*D29/30</f>
        <v>0.26666666666666666</v>
      </c>
      <c r="H29" s="127">
        <f>9.84*D29/30</f>
        <v>16.399999999999999</v>
      </c>
      <c r="I29" s="127">
        <f t="shared" si="3"/>
        <v>78.133333333333326</v>
      </c>
      <c r="J29" s="127">
        <f>0.02*D29/30</f>
        <v>3.3333333333333333E-2</v>
      </c>
      <c r="K29" s="127">
        <f>0.01*D29/30</f>
        <v>1.6666666666666666E-2</v>
      </c>
      <c r="L29" s="127">
        <f>0.44*D29/30</f>
        <v>0.73333333333333328</v>
      </c>
      <c r="M29" s="127">
        <v>0</v>
      </c>
      <c r="N29" s="127">
        <f>0.7*D29/30</f>
        <v>1.1666666666666667</v>
      </c>
      <c r="O29" s="127">
        <f>4*D29/30</f>
        <v>6.666666666666667</v>
      </c>
      <c r="P29" s="127">
        <f>13*D29/30</f>
        <v>21.666666666666668</v>
      </c>
      <c r="Q29" s="127">
        <f>0.008*D29/30</f>
        <v>1.3333333333333334E-2</v>
      </c>
      <c r="R29" s="127">
        <f>0.001*D29/30</f>
        <v>1.6666666666666668E-3</v>
      </c>
      <c r="S29" s="127">
        <v>0</v>
      </c>
      <c r="T29" s="127">
        <f>0.22*D29/30</f>
        <v>0.36666666666666664</v>
      </c>
    </row>
    <row r="30" spans="1:20" s="118" customFormat="1" ht="11.25" customHeight="1" x14ac:dyDescent="0.2">
      <c r="A30" s="58" t="s">
        <v>29</v>
      </c>
      <c r="B30" s="59"/>
      <c r="C30" s="59"/>
      <c r="D30" s="62">
        <f t="shared" ref="D30:I30" si="4">SUM(D23:D29)</f>
        <v>930</v>
      </c>
      <c r="E30" s="132">
        <f t="shared" si="4"/>
        <v>90</v>
      </c>
      <c r="F30" s="38">
        <f t="shared" si="4"/>
        <v>38.217333333333329</v>
      </c>
      <c r="G30" s="37">
        <f t="shared" si="4"/>
        <v>38.321333333333328</v>
      </c>
      <c r="H30" s="37">
        <f t="shared" si="4"/>
        <v>123.32733333333334</v>
      </c>
      <c r="I30" s="37">
        <f t="shared" si="4"/>
        <v>990.80066666666664</v>
      </c>
      <c r="J30" s="37">
        <f t="shared" ref="J30:T30" si="5">SUM(J23:J29)</f>
        <v>0.86299999999999988</v>
      </c>
      <c r="K30" s="38">
        <f t="shared" si="5"/>
        <v>0.6013333333333335</v>
      </c>
      <c r="L30" s="37">
        <f t="shared" si="5"/>
        <v>38.713333333333338</v>
      </c>
      <c r="M30" s="37">
        <f t="shared" si="5"/>
        <v>0.12033333333333335</v>
      </c>
      <c r="N30" s="41">
        <f t="shared" si="5"/>
        <v>8.5849999999999991</v>
      </c>
      <c r="O30" s="37">
        <f t="shared" si="5"/>
        <v>265.17400000000004</v>
      </c>
      <c r="P30" s="37">
        <f t="shared" si="5"/>
        <v>726.30933333333337</v>
      </c>
      <c r="Q30" s="37">
        <f t="shared" si="5"/>
        <v>6.999880000000001</v>
      </c>
      <c r="R30" s="39">
        <f t="shared" si="5"/>
        <v>7.2536666666666666E-2</v>
      </c>
      <c r="S30" s="37">
        <f t="shared" si="5"/>
        <v>247.18666666666667</v>
      </c>
      <c r="T30" s="38">
        <f t="shared" si="5"/>
        <v>11.568333333333333</v>
      </c>
    </row>
    <row r="31" spans="1:20" s="118" customFormat="1" ht="11.25" customHeight="1" x14ac:dyDescent="0.2">
      <c r="A31" s="220" t="s">
        <v>62</v>
      </c>
      <c r="B31" s="221"/>
      <c r="C31" s="221"/>
      <c r="D31" s="222"/>
      <c r="E31" s="188"/>
      <c r="F31" s="66">
        <f>F30/F39</f>
        <v>0.42463703703703698</v>
      </c>
      <c r="G31" s="42">
        <f t="shared" ref="G31:T31" si="6">G30/G39</f>
        <v>0.41653623188405792</v>
      </c>
      <c r="H31" s="42">
        <f t="shared" si="6"/>
        <v>0.3220034812880766</v>
      </c>
      <c r="I31" s="42">
        <f t="shared" si="6"/>
        <v>0.36426495098039213</v>
      </c>
      <c r="J31" s="42">
        <f t="shared" si="6"/>
        <v>0.61642857142857133</v>
      </c>
      <c r="K31" s="42">
        <f t="shared" si="6"/>
        <v>0.37583333333333341</v>
      </c>
      <c r="L31" s="42">
        <f t="shared" si="6"/>
        <v>0.55304761904761912</v>
      </c>
      <c r="M31" s="42">
        <f t="shared" si="6"/>
        <v>0.13370370370370371</v>
      </c>
      <c r="N31" s="42">
        <f t="shared" si="6"/>
        <v>0.71541666666666659</v>
      </c>
      <c r="O31" s="42">
        <f t="shared" si="6"/>
        <v>0.22097833333333336</v>
      </c>
      <c r="P31" s="42">
        <f t="shared" si="6"/>
        <v>0.60525777777777778</v>
      </c>
      <c r="Q31" s="42">
        <f t="shared" si="6"/>
        <v>0.49999142857142864</v>
      </c>
      <c r="R31" s="42">
        <f t="shared" si="6"/>
        <v>0.7253666666666666</v>
      </c>
      <c r="S31" s="42">
        <f t="shared" si="6"/>
        <v>0.82395555555555555</v>
      </c>
      <c r="T31" s="42">
        <f t="shared" si="6"/>
        <v>0.64268518518518514</v>
      </c>
    </row>
    <row r="32" spans="1:20" s="118" customFormat="1" ht="11.25" customHeight="1" x14ac:dyDescent="0.2">
      <c r="A32" s="186"/>
      <c r="B32" s="187"/>
      <c r="C32" s="187"/>
      <c r="D32" s="187"/>
      <c r="E32" s="145">
        <f>90-E30</f>
        <v>0</v>
      </c>
      <c r="F32" s="13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4"/>
    </row>
    <row r="33" spans="1:20" s="118" customFormat="1" ht="11.25" customHeight="1" x14ac:dyDescent="0.2">
      <c r="A33" s="227" t="s">
        <v>30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</row>
    <row r="34" spans="1:20" s="107" customFormat="1" ht="11.25" customHeight="1" x14ac:dyDescent="0.2">
      <c r="A34" s="181"/>
      <c r="B34" s="238"/>
      <c r="C34" s="238"/>
      <c r="D34" s="169"/>
      <c r="E34" s="108"/>
      <c r="F34" s="108"/>
      <c r="G34" s="108"/>
      <c r="H34" s="108"/>
      <c r="I34" s="108"/>
      <c r="J34" s="108"/>
      <c r="K34" s="108"/>
      <c r="L34" s="109"/>
      <c r="M34" s="109"/>
      <c r="N34" s="108"/>
      <c r="O34" s="108"/>
      <c r="P34" s="108"/>
      <c r="Q34" s="109"/>
      <c r="R34" s="109"/>
      <c r="S34" s="108"/>
      <c r="T34" s="108"/>
    </row>
    <row r="35" spans="1:20" s="107" customFormat="1" ht="11.25" customHeight="1" x14ac:dyDescent="0.2">
      <c r="A35" s="172"/>
      <c r="B35" s="239"/>
      <c r="C35" s="239"/>
      <c r="D35" s="173"/>
      <c r="E35" s="114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</row>
    <row r="36" spans="1:20" s="1" customFormat="1" ht="11.25" customHeight="1" x14ac:dyDescent="0.2">
      <c r="A36" s="58" t="s">
        <v>31</v>
      </c>
      <c r="B36" s="59"/>
      <c r="C36" s="59"/>
      <c r="D36" s="62">
        <f t="shared" ref="D36:I36" si="7">SUM(D34:D35)</f>
        <v>0</v>
      </c>
      <c r="E36" s="62">
        <f t="shared" si="7"/>
        <v>0</v>
      </c>
      <c r="F36" s="38">
        <f t="shared" si="7"/>
        <v>0</v>
      </c>
      <c r="G36" s="37">
        <f t="shared" si="7"/>
        <v>0</v>
      </c>
      <c r="H36" s="37">
        <f t="shared" si="7"/>
        <v>0</v>
      </c>
      <c r="I36" s="37">
        <f t="shared" si="7"/>
        <v>0</v>
      </c>
      <c r="J36" s="37">
        <f t="shared" ref="J36:T36" si="8">SUM(J34:J35)</f>
        <v>0</v>
      </c>
      <c r="K36" s="37">
        <f t="shared" si="8"/>
        <v>0</v>
      </c>
      <c r="L36" s="37">
        <f t="shared" si="8"/>
        <v>0</v>
      </c>
      <c r="M36" s="38">
        <f t="shared" si="8"/>
        <v>0</v>
      </c>
      <c r="N36" s="38">
        <f t="shared" si="8"/>
        <v>0</v>
      </c>
      <c r="O36" s="37">
        <f t="shared" si="8"/>
        <v>0</v>
      </c>
      <c r="P36" s="37">
        <f t="shared" si="8"/>
        <v>0</v>
      </c>
      <c r="Q36" s="37">
        <f t="shared" si="8"/>
        <v>0</v>
      </c>
      <c r="R36" s="39">
        <f t="shared" si="8"/>
        <v>0</v>
      </c>
      <c r="S36" s="37">
        <f t="shared" si="8"/>
        <v>0</v>
      </c>
      <c r="T36" s="38">
        <f t="shared" si="8"/>
        <v>0</v>
      </c>
    </row>
    <row r="37" spans="1:20" s="1" customFormat="1" ht="11.25" customHeight="1" x14ac:dyDescent="0.2">
      <c r="A37" s="220" t="s">
        <v>62</v>
      </c>
      <c r="B37" s="221"/>
      <c r="C37" s="221"/>
      <c r="D37" s="222"/>
      <c r="E37" s="188"/>
      <c r="F37" s="66">
        <f>F36/F39</f>
        <v>0</v>
      </c>
      <c r="G37" s="42">
        <f t="shared" ref="G37:T37" si="9">G36/G39</f>
        <v>0</v>
      </c>
      <c r="H37" s="42">
        <f t="shared" si="9"/>
        <v>0</v>
      </c>
      <c r="I37" s="42">
        <f t="shared" si="9"/>
        <v>0</v>
      </c>
      <c r="J37" s="42">
        <f t="shared" si="9"/>
        <v>0</v>
      </c>
      <c r="K37" s="42">
        <f t="shared" si="9"/>
        <v>0</v>
      </c>
      <c r="L37" s="42">
        <f t="shared" si="9"/>
        <v>0</v>
      </c>
      <c r="M37" s="42">
        <f t="shared" si="9"/>
        <v>0</v>
      </c>
      <c r="N37" s="42">
        <f t="shared" si="9"/>
        <v>0</v>
      </c>
      <c r="O37" s="42">
        <f t="shared" si="9"/>
        <v>0</v>
      </c>
      <c r="P37" s="42">
        <f t="shared" si="9"/>
        <v>0</v>
      </c>
      <c r="Q37" s="42">
        <f t="shared" si="9"/>
        <v>0</v>
      </c>
      <c r="R37" s="42">
        <f t="shared" si="9"/>
        <v>0</v>
      </c>
      <c r="S37" s="42">
        <f t="shared" si="9"/>
        <v>0</v>
      </c>
      <c r="T37" s="42">
        <f t="shared" si="9"/>
        <v>0</v>
      </c>
    </row>
    <row r="38" spans="1:20" s="1" customFormat="1" ht="11.25" customHeight="1" x14ac:dyDescent="0.2">
      <c r="A38" s="235" t="s">
        <v>61</v>
      </c>
      <c r="B38" s="236"/>
      <c r="C38" s="236"/>
      <c r="D38" s="237"/>
      <c r="E38" s="193"/>
      <c r="F38" s="38">
        <f t="shared" ref="F38:T38" si="10">SUM(F19,F30,F36)</f>
        <v>73.3065</v>
      </c>
      <c r="G38" s="37">
        <f t="shared" si="10"/>
        <v>69.692166666666665</v>
      </c>
      <c r="H38" s="37">
        <f t="shared" si="10"/>
        <v>182.07733333333334</v>
      </c>
      <c r="I38" s="37">
        <f t="shared" si="10"/>
        <v>1648.4948333333332</v>
      </c>
      <c r="J38" s="38">
        <f t="shared" si="10"/>
        <v>1.3239166666666664</v>
      </c>
      <c r="K38" s="38">
        <f t="shared" si="10"/>
        <v>1.112166666666667</v>
      </c>
      <c r="L38" s="37">
        <f t="shared" si="10"/>
        <v>102.745</v>
      </c>
      <c r="M38" s="38">
        <f t="shared" si="10"/>
        <v>0.22233333333333336</v>
      </c>
      <c r="N38" s="38">
        <f t="shared" si="10"/>
        <v>15.033333333333331</v>
      </c>
      <c r="O38" s="37">
        <f t="shared" si="10"/>
        <v>687.28233333333333</v>
      </c>
      <c r="P38" s="37">
        <f t="shared" si="10"/>
        <v>1285.7476666666666</v>
      </c>
      <c r="Q38" s="38">
        <f t="shared" si="10"/>
        <v>10.675046666666667</v>
      </c>
      <c r="R38" s="39">
        <f t="shared" si="10"/>
        <v>0.15489999999999998</v>
      </c>
      <c r="S38" s="38">
        <f t="shared" si="10"/>
        <v>333.46416666666664</v>
      </c>
      <c r="T38" s="38">
        <f t="shared" si="10"/>
        <v>15.185166666666667</v>
      </c>
    </row>
    <row r="39" spans="1:20" s="1" customFormat="1" ht="11.25" customHeight="1" x14ac:dyDescent="0.2">
      <c r="A39" s="235" t="s">
        <v>63</v>
      </c>
      <c r="B39" s="236"/>
      <c r="C39" s="236"/>
      <c r="D39" s="237"/>
      <c r="E39" s="193"/>
      <c r="F39" s="126">
        <v>90</v>
      </c>
      <c r="G39" s="124">
        <v>92</v>
      </c>
      <c r="H39" s="124">
        <v>383</v>
      </c>
      <c r="I39" s="124">
        <v>2720</v>
      </c>
      <c r="J39" s="126">
        <v>1.4</v>
      </c>
      <c r="K39" s="126">
        <v>1.6</v>
      </c>
      <c r="L39" s="125">
        <v>70</v>
      </c>
      <c r="M39" s="126">
        <v>0.9</v>
      </c>
      <c r="N39" s="125">
        <v>12</v>
      </c>
      <c r="O39" s="125">
        <v>1200</v>
      </c>
      <c r="P39" s="125">
        <v>1200</v>
      </c>
      <c r="Q39" s="125">
        <v>14</v>
      </c>
      <c r="R39" s="124">
        <v>0.1</v>
      </c>
      <c r="S39" s="125">
        <v>300</v>
      </c>
      <c r="T39" s="126">
        <v>18</v>
      </c>
    </row>
    <row r="40" spans="1:20" s="1" customFormat="1" ht="11.25" customHeight="1" x14ac:dyDescent="0.2">
      <c r="A40" s="220" t="s">
        <v>62</v>
      </c>
      <c r="B40" s="221"/>
      <c r="C40" s="221"/>
      <c r="D40" s="222"/>
      <c r="E40" s="188"/>
      <c r="F40" s="66">
        <f t="shared" ref="F40:T40" si="11">F38/F39</f>
        <v>0.81451666666666667</v>
      </c>
      <c r="G40" s="42">
        <f t="shared" si="11"/>
        <v>0.75752355072463762</v>
      </c>
      <c r="H40" s="42">
        <f t="shared" si="11"/>
        <v>0.47539773716275024</v>
      </c>
      <c r="I40" s="42">
        <f t="shared" si="11"/>
        <v>0.60606427696078424</v>
      </c>
      <c r="J40" s="42">
        <f t="shared" si="11"/>
        <v>0.94565476190476183</v>
      </c>
      <c r="K40" s="42">
        <f t="shared" si="11"/>
        <v>0.69510416666666686</v>
      </c>
      <c r="L40" s="42">
        <f t="shared" si="11"/>
        <v>1.4677857142857142</v>
      </c>
      <c r="M40" s="43">
        <f t="shared" si="11"/>
        <v>0.24703703703703705</v>
      </c>
      <c r="N40" s="42">
        <f t="shared" si="11"/>
        <v>1.2527777777777775</v>
      </c>
      <c r="O40" s="42">
        <f t="shared" si="11"/>
        <v>0.57273527777777777</v>
      </c>
      <c r="P40" s="42">
        <f t="shared" si="11"/>
        <v>1.0714563888888888</v>
      </c>
      <c r="Q40" s="42">
        <f t="shared" si="11"/>
        <v>0.76250333333333331</v>
      </c>
      <c r="R40" s="43">
        <f t="shared" si="11"/>
        <v>1.5489999999999997</v>
      </c>
      <c r="S40" s="42">
        <f t="shared" si="11"/>
        <v>1.1115472222222222</v>
      </c>
      <c r="T40" s="43">
        <f t="shared" si="11"/>
        <v>0.84362037037037041</v>
      </c>
    </row>
    <row r="41" spans="1:20" s="1" customFormat="1" ht="11.25" customHeight="1" x14ac:dyDescent="0.2">
      <c r="A41" s="51"/>
      <c r="B41" s="51"/>
      <c r="C41" s="185"/>
      <c r="D41" s="185"/>
      <c r="E41" s="185"/>
      <c r="F41" s="91"/>
      <c r="G41" s="118"/>
      <c r="H41" s="2"/>
      <c r="I41" s="2"/>
      <c r="J41" s="118"/>
      <c r="K41" s="118"/>
      <c r="L41" s="118"/>
      <c r="M41" s="206" t="s">
        <v>65</v>
      </c>
      <c r="N41" s="206"/>
      <c r="O41" s="206"/>
      <c r="P41" s="206"/>
      <c r="Q41" s="206"/>
      <c r="R41" s="206"/>
      <c r="S41" s="206"/>
      <c r="T41" s="206"/>
    </row>
    <row r="42" spans="1:20" s="1" customFormat="1" ht="11.25" customHeight="1" x14ac:dyDescent="0.2">
      <c r="A42" s="51"/>
      <c r="B42" s="51"/>
      <c r="C42" s="185"/>
      <c r="D42" s="185"/>
      <c r="E42" s="185"/>
      <c r="F42" s="91"/>
      <c r="G42" s="118"/>
      <c r="H42" s="2"/>
      <c r="I42" s="2"/>
      <c r="J42" s="118"/>
      <c r="K42" s="118"/>
      <c r="L42" s="118"/>
      <c r="M42" s="184"/>
      <c r="N42" s="184"/>
      <c r="O42" s="184"/>
      <c r="P42" s="184"/>
      <c r="Q42" s="184"/>
      <c r="R42" s="184"/>
      <c r="S42" s="184"/>
      <c r="T42" s="184"/>
    </row>
    <row r="43" spans="1:20" ht="11.25" customHeight="1" x14ac:dyDescent="0.2">
      <c r="A43" s="51"/>
      <c r="B43" s="51"/>
      <c r="C43" s="51"/>
      <c r="D43" s="118"/>
      <c r="E43" s="118"/>
      <c r="F43" s="119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</row>
    <row r="44" spans="1:20" ht="29.25" customHeight="1" x14ac:dyDescent="0.2">
      <c r="A44" s="254" t="s">
        <v>67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</row>
    <row r="45" spans="1:20" ht="29.25" customHeight="1" x14ac:dyDescent="0.2">
      <c r="A45" s="52"/>
      <c r="B45" s="52"/>
      <c r="C45" s="52"/>
      <c r="D45" s="3"/>
      <c r="E45" s="3"/>
      <c r="F45" s="92"/>
      <c r="G45" s="3"/>
      <c r="H45" s="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s="84" customFormat="1" ht="13.5" customHeight="1" x14ac:dyDescent="0.2">
      <c r="A46" s="85"/>
      <c r="B46" s="85"/>
      <c r="C46" s="85"/>
      <c r="D46" s="85"/>
      <c r="E46" s="85"/>
      <c r="F46" s="93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</row>
  </sheetData>
  <autoFilter ref="B1:B46"/>
  <mergeCells count="49">
    <mergeCell ref="M1:T1"/>
    <mergeCell ref="A2:T2"/>
    <mergeCell ref="G4:I4"/>
    <mergeCell ref="L4:M4"/>
    <mergeCell ref="N4:Q4"/>
    <mergeCell ref="A6:T6"/>
    <mergeCell ref="G7:I7"/>
    <mergeCell ref="L7:M7"/>
    <mergeCell ref="N7:Q7"/>
    <mergeCell ref="N5:T5"/>
    <mergeCell ref="D5:F5"/>
    <mergeCell ref="L5:M5"/>
    <mergeCell ref="B16:C16"/>
    <mergeCell ref="D8:F8"/>
    <mergeCell ref="L8:M8"/>
    <mergeCell ref="N8:T8"/>
    <mergeCell ref="A9:A10"/>
    <mergeCell ref="B9:C10"/>
    <mergeCell ref="D9:D10"/>
    <mergeCell ref="F9:H9"/>
    <mergeCell ref="I9:I10"/>
    <mergeCell ref="J9:N9"/>
    <mergeCell ref="O9:T9"/>
    <mergeCell ref="B11:C11"/>
    <mergeCell ref="A12:T12"/>
    <mergeCell ref="B13:C13"/>
    <mergeCell ref="B14:C14"/>
    <mergeCell ref="B15:C15"/>
    <mergeCell ref="A31:D31"/>
    <mergeCell ref="B17:C17"/>
    <mergeCell ref="B18:C18"/>
    <mergeCell ref="A20:D20"/>
    <mergeCell ref="A22:T22"/>
    <mergeCell ref="B23:C23"/>
    <mergeCell ref="B24:C24"/>
    <mergeCell ref="B25:C25"/>
    <mergeCell ref="B26:C26"/>
    <mergeCell ref="B27:C27"/>
    <mergeCell ref="B28:C28"/>
    <mergeCell ref="B29:C29"/>
    <mergeCell ref="A40:D40"/>
    <mergeCell ref="M41:T41"/>
    <mergeCell ref="A44:T44"/>
    <mergeCell ref="A33:T33"/>
    <mergeCell ref="B34:C34"/>
    <mergeCell ref="B35:C35"/>
    <mergeCell ref="A37:D37"/>
    <mergeCell ref="A38:D38"/>
    <mergeCell ref="A39:D39"/>
  </mergeCells>
  <pageMargins left="0.7" right="0.7" top="0.75" bottom="0.75" header="0.3" footer="0.3"/>
  <pageSetup paperSize="9" scale="79" orientation="landscape" r:id="rId1"/>
  <rowBreaks count="2" manualBreakCount="2">
    <brk id="5" max="19" man="1"/>
    <brk id="4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39"/>
  <sheetViews>
    <sheetView view="pageBreakPreview" zoomScale="80" zoomScaleNormal="80" zoomScaleSheetLayoutView="80" workbookViewId="0">
      <selection activeCell="A39" sqref="A39:IV324"/>
    </sheetView>
  </sheetViews>
  <sheetFormatPr defaultRowHeight="11.25" x14ac:dyDescent="0.2"/>
  <cols>
    <col min="1" max="1" width="9.5" style="53" customWidth="1"/>
    <col min="2" max="2" width="16.33203125" style="53" customWidth="1"/>
    <col min="3" max="3" width="25.1640625" style="53" customWidth="1"/>
    <col min="4" max="4" width="8" style="4" customWidth="1"/>
    <col min="5" max="5" width="9.6640625" style="4" customWidth="1"/>
    <col min="6" max="6" width="9.83203125" style="94" customWidth="1"/>
    <col min="7" max="7" width="9.6640625" style="4" customWidth="1"/>
    <col min="8" max="8" width="8.5" style="4" customWidth="1"/>
    <col min="9" max="9" width="10" style="4" customWidth="1"/>
    <col min="10" max="10" width="9" style="4" customWidth="1"/>
    <col min="11" max="11" width="9.83203125" style="4" customWidth="1"/>
    <col min="12" max="12" width="8.83203125" style="4" customWidth="1"/>
    <col min="13" max="13" width="10.33203125" style="4" customWidth="1"/>
    <col min="14" max="14" width="9.5" style="4" customWidth="1"/>
    <col min="15" max="15" width="9.33203125" style="4" customWidth="1"/>
    <col min="16" max="17" width="9.1640625" style="4" customWidth="1"/>
    <col min="18" max="18" width="9" style="4" customWidth="1"/>
    <col min="19" max="19" width="9.5" style="4" customWidth="1"/>
    <col min="20" max="20" width="8.6640625" style="4" customWidth="1"/>
    <col min="21" max="21" width="9.1640625" style="17" customWidth="1"/>
    <col min="22" max="23" width="9.1640625" style="26" customWidth="1"/>
    <col min="24" max="24" width="11.6640625" style="26" customWidth="1"/>
  </cols>
  <sheetData>
    <row r="1" spans="1:25" s="1" customFormat="1" ht="11.25" customHeight="1" x14ac:dyDescent="0.2">
      <c r="A1" s="54"/>
      <c r="B1" s="51"/>
      <c r="C1" s="51"/>
      <c r="D1" s="118"/>
      <c r="E1" s="118"/>
      <c r="F1" s="119"/>
      <c r="G1" s="118"/>
      <c r="H1" s="118"/>
      <c r="I1" s="118"/>
      <c r="J1" s="118"/>
      <c r="K1" s="118"/>
      <c r="L1" s="2"/>
      <c r="M1" s="206" t="s">
        <v>65</v>
      </c>
      <c r="N1" s="206"/>
      <c r="O1" s="206"/>
      <c r="P1" s="206"/>
      <c r="Q1" s="206"/>
      <c r="R1" s="206"/>
      <c r="S1" s="206"/>
      <c r="T1" s="206"/>
      <c r="U1" s="213"/>
      <c r="V1" s="202"/>
      <c r="W1" s="194"/>
      <c r="X1" s="202"/>
    </row>
    <row r="2" spans="1:25" s="1" customFormat="1" ht="15.75" customHeight="1" x14ac:dyDescent="0.25">
      <c r="A2" s="207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14"/>
      <c r="V2" s="202"/>
      <c r="W2" s="194"/>
      <c r="X2" s="202"/>
    </row>
    <row r="3" spans="1:25" s="1" customFormat="1" ht="15.75" customHeight="1" x14ac:dyDescent="0.25">
      <c r="A3" s="195"/>
      <c r="B3" s="195"/>
      <c r="C3" s="195"/>
      <c r="D3" s="195"/>
      <c r="E3" s="195"/>
      <c r="F3" s="195"/>
      <c r="G3" s="195"/>
      <c r="H3" s="195" t="s">
        <v>119</v>
      </c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214"/>
      <c r="V3" s="202"/>
      <c r="W3" s="194"/>
      <c r="X3" s="202"/>
    </row>
    <row r="4" spans="1:25" s="1" customFormat="1" ht="11.25" customHeight="1" x14ac:dyDescent="0.2">
      <c r="A4" s="55" t="s">
        <v>55</v>
      </c>
      <c r="B4" s="51"/>
      <c r="C4" s="51"/>
      <c r="D4" s="2"/>
      <c r="E4" s="2"/>
      <c r="F4" s="119"/>
      <c r="G4" s="208" t="s">
        <v>1</v>
      </c>
      <c r="H4" s="208"/>
      <c r="I4" s="208"/>
      <c r="J4" s="118"/>
      <c r="K4" s="118"/>
      <c r="L4" s="201" t="s">
        <v>2</v>
      </c>
      <c r="M4" s="201"/>
      <c r="N4" s="240"/>
      <c r="O4" s="240"/>
      <c r="P4" s="240"/>
      <c r="Q4" s="240"/>
      <c r="R4" s="118"/>
      <c r="S4" s="118"/>
      <c r="T4" s="118"/>
      <c r="U4" s="214"/>
      <c r="V4" s="202"/>
      <c r="W4" s="194"/>
      <c r="X4" s="202"/>
    </row>
    <row r="5" spans="1:25" s="1" customFormat="1" ht="11.25" customHeight="1" x14ac:dyDescent="0.2">
      <c r="A5" s="51"/>
      <c r="B5" s="51"/>
      <c r="C5" s="185"/>
      <c r="D5" s="185"/>
      <c r="E5" s="185"/>
      <c r="F5" s="91"/>
      <c r="G5" s="118"/>
      <c r="H5" s="2"/>
      <c r="I5" s="2"/>
      <c r="J5" s="118"/>
      <c r="K5" s="118"/>
      <c r="L5" s="118"/>
      <c r="M5" s="206" t="s">
        <v>65</v>
      </c>
      <c r="N5" s="206"/>
      <c r="O5" s="206"/>
      <c r="P5" s="206"/>
      <c r="Q5" s="206"/>
      <c r="R5" s="206"/>
      <c r="S5" s="206"/>
      <c r="T5" s="206"/>
      <c r="U5" s="11"/>
      <c r="V5" s="18"/>
      <c r="W5" s="18"/>
      <c r="X5" s="18"/>
    </row>
    <row r="6" spans="1:25" s="1" customFormat="1" ht="11.25" customHeight="1" x14ac:dyDescent="0.2">
      <c r="A6" s="249" t="s">
        <v>32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12"/>
      <c r="V6" s="24"/>
      <c r="W6" s="24"/>
      <c r="X6" s="24"/>
      <c r="Y6" s="50"/>
    </row>
    <row r="7" spans="1:25" s="1" customFormat="1" ht="11.25" customHeight="1" x14ac:dyDescent="0.2">
      <c r="A7" s="55" t="s">
        <v>55</v>
      </c>
      <c r="B7" s="51"/>
      <c r="C7" s="51"/>
      <c r="D7" s="2"/>
      <c r="E7" s="2"/>
      <c r="F7" s="119"/>
      <c r="G7" s="208" t="s">
        <v>33</v>
      </c>
      <c r="H7" s="208"/>
      <c r="I7" s="208"/>
      <c r="J7" s="118"/>
      <c r="K7" s="118"/>
      <c r="L7" s="201" t="s">
        <v>2</v>
      </c>
      <c r="M7" s="201"/>
      <c r="N7" s="240"/>
      <c r="O7" s="240"/>
      <c r="P7" s="240"/>
      <c r="Q7" s="240"/>
      <c r="R7" s="118"/>
      <c r="S7" s="118"/>
      <c r="T7" s="118"/>
      <c r="U7" s="13"/>
      <c r="V7" s="19"/>
      <c r="W7" s="19"/>
      <c r="X7" s="19"/>
    </row>
    <row r="8" spans="1:25" s="1" customFormat="1" ht="11.25" customHeight="1" x14ac:dyDescent="0.2">
      <c r="A8" s="51"/>
      <c r="B8" s="51"/>
      <c r="C8" s="51"/>
      <c r="D8" s="201" t="s">
        <v>3</v>
      </c>
      <c r="E8" s="201"/>
      <c r="F8" s="201"/>
      <c r="G8" s="6">
        <v>1</v>
      </c>
      <c r="H8" s="118"/>
      <c r="I8" s="2"/>
      <c r="J8" s="2"/>
      <c r="K8" s="2"/>
      <c r="L8" s="201" t="s">
        <v>4</v>
      </c>
      <c r="M8" s="201"/>
      <c r="N8" s="208" t="s">
        <v>118</v>
      </c>
      <c r="O8" s="208"/>
      <c r="P8" s="208"/>
      <c r="Q8" s="208"/>
      <c r="R8" s="208"/>
      <c r="S8" s="208"/>
      <c r="T8" s="208"/>
      <c r="U8" s="14"/>
      <c r="V8" s="20"/>
      <c r="W8" s="20"/>
      <c r="X8" s="20"/>
    </row>
    <row r="9" spans="1:25" s="1" customFormat="1" ht="21.75" customHeight="1" x14ac:dyDescent="0.2">
      <c r="A9" s="217" t="s">
        <v>5</v>
      </c>
      <c r="B9" s="209" t="s">
        <v>6</v>
      </c>
      <c r="C9" s="210"/>
      <c r="D9" s="217" t="s">
        <v>7</v>
      </c>
      <c r="E9" s="196"/>
      <c r="F9" s="203" t="s">
        <v>8</v>
      </c>
      <c r="G9" s="204"/>
      <c r="H9" s="205"/>
      <c r="I9" s="217" t="s">
        <v>9</v>
      </c>
      <c r="J9" s="203" t="s">
        <v>10</v>
      </c>
      <c r="K9" s="204"/>
      <c r="L9" s="204"/>
      <c r="M9" s="204"/>
      <c r="N9" s="205"/>
      <c r="O9" s="203" t="s">
        <v>11</v>
      </c>
      <c r="P9" s="204"/>
      <c r="Q9" s="204"/>
      <c r="R9" s="204"/>
      <c r="S9" s="204"/>
      <c r="T9" s="205"/>
      <c r="U9" s="8"/>
      <c r="V9" s="21"/>
      <c r="W9" s="21"/>
      <c r="X9" s="21"/>
    </row>
    <row r="10" spans="1:25" s="1" customFormat="1" ht="21" customHeight="1" x14ac:dyDescent="0.2">
      <c r="A10" s="218"/>
      <c r="B10" s="211"/>
      <c r="C10" s="212"/>
      <c r="D10" s="218"/>
      <c r="E10" s="190"/>
      <c r="F10" s="89" t="s">
        <v>12</v>
      </c>
      <c r="G10" s="197" t="s">
        <v>13</v>
      </c>
      <c r="H10" s="197" t="s">
        <v>14</v>
      </c>
      <c r="I10" s="218"/>
      <c r="J10" s="197" t="s">
        <v>15</v>
      </c>
      <c r="K10" s="197" t="s">
        <v>57</v>
      </c>
      <c r="L10" s="197" t="s">
        <v>16</v>
      </c>
      <c r="M10" s="197" t="s">
        <v>17</v>
      </c>
      <c r="N10" s="197" t="s">
        <v>18</v>
      </c>
      <c r="O10" s="197" t="s">
        <v>19</v>
      </c>
      <c r="P10" s="197" t="s">
        <v>20</v>
      </c>
      <c r="Q10" s="197" t="s">
        <v>58</v>
      </c>
      <c r="R10" s="197" t="s">
        <v>59</v>
      </c>
      <c r="S10" s="197" t="s">
        <v>21</v>
      </c>
      <c r="T10" s="197" t="s">
        <v>22</v>
      </c>
      <c r="U10" s="8"/>
      <c r="V10" s="21"/>
      <c r="W10" s="21"/>
      <c r="X10" s="21"/>
    </row>
    <row r="11" spans="1:25" s="1" customFormat="1" ht="11.25" customHeight="1" x14ac:dyDescent="0.2">
      <c r="A11" s="198">
        <v>1</v>
      </c>
      <c r="B11" s="233">
        <v>2</v>
      </c>
      <c r="C11" s="234"/>
      <c r="D11" s="36">
        <v>3</v>
      </c>
      <c r="E11" s="36"/>
      <c r="F11" s="90">
        <v>4</v>
      </c>
      <c r="G11" s="36">
        <v>5</v>
      </c>
      <c r="H11" s="36">
        <v>6</v>
      </c>
      <c r="I11" s="36">
        <v>7</v>
      </c>
      <c r="J11" s="36">
        <v>8</v>
      </c>
      <c r="K11" s="36">
        <v>9</v>
      </c>
      <c r="L11" s="36">
        <v>10</v>
      </c>
      <c r="M11" s="36">
        <v>11</v>
      </c>
      <c r="N11" s="36">
        <v>12</v>
      </c>
      <c r="O11" s="36">
        <v>13</v>
      </c>
      <c r="P11" s="36">
        <v>14</v>
      </c>
      <c r="Q11" s="36">
        <v>15</v>
      </c>
      <c r="R11" s="36">
        <v>16</v>
      </c>
      <c r="S11" s="36">
        <v>17</v>
      </c>
      <c r="T11" s="36">
        <v>18</v>
      </c>
      <c r="U11" s="9"/>
      <c r="V11" s="22"/>
      <c r="W11" s="22"/>
      <c r="X11" s="22"/>
    </row>
    <row r="12" spans="1:25" s="1" customFormat="1" ht="11.25" customHeight="1" x14ac:dyDescent="0.2">
      <c r="A12" s="244" t="e">
        <f>#REF!</f>
        <v>#REF!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6"/>
      <c r="U12" s="10"/>
      <c r="V12" s="23"/>
      <c r="W12" s="23"/>
      <c r="X12" s="23"/>
    </row>
    <row r="13" spans="1:25" s="107" customFormat="1" ht="11.25" customHeight="1" x14ac:dyDescent="0.2">
      <c r="A13" s="110" t="s">
        <v>66</v>
      </c>
      <c r="B13" s="238" t="s">
        <v>95</v>
      </c>
      <c r="C13" s="238"/>
      <c r="D13" s="109">
        <v>20</v>
      </c>
      <c r="E13" s="108">
        <v>6.4</v>
      </c>
      <c r="F13" s="108">
        <v>1.25</v>
      </c>
      <c r="G13" s="108"/>
      <c r="H13" s="108">
        <v>9.5</v>
      </c>
      <c r="I13" s="108">
        <v>43</v>
      </c>
      <c r="J13" s="108">
        <v>8.0000000000000002E-3</v>
      </c>
      <c r="K13" s="108">
        <v>7.0000000000000001E-3</v>
      </c>
      <c r="L13" s="108">
        <v>0.16</v>
      </c>
      <c r="M13" s="108">
        <v>8.0000000000000002E-3</v>
      </c>
      <c r="N13" s="108">
        <v>0.03</v>
      </c>
      <c r="O13" s="108">
        <v>51.16</v>
      </c>
      <c r="P13" s="108">
        <v>36.5</v>
      </c>
      <c r="Q13" s="108">
        <v>0.16</v>
      </c>
      <c r="R13" s="108">
        <v>2E-3</v>
      </c>
      <c r="S13" s="108">
        <v>5.66</v>
      </c>
      <c r="T13" s="108">
        <v>0.03</v>
      </c>
    </row>
    <row r="14" spans="1:25" s="107" customFormat="1" ht="21" customHeight="1" x14ac:dyDescent="0.2">
      <c r="A14" s="113">
        <v>222</v>
      </c>
      <c r="B14" s="247" t="s">
        <v>94</v>
      </c>
      <c r="C14" s="248"/>
      <c r="D14" s="109">
        <v>170</v>
      </c>
      <c r="E14" s="108">
        <v>46.22</v>
      </c>
      <c r="F14" s="114">
        <v>14.92</v>
      </c>
      <c r="G14" s="114">
        <v>14.38</v>
      </c>
      <c r="H14" s="114">
        <v>31.51</v>
      </c>
      <c r="I14" s="114">
        <v>315.14</v>
      </c>
      <c r="J14" s="114">
        <v>0.26</v>
      </c>
      <c r="K14" s="114">
        <v>0.40799999999999997</v>
      </c>
      <c r="L14" s="114">
        <v>0.93500000000000005</v>
      </c>
      <c r="M14" s="114">
        <v>0.21299999999999999</v>
      </c>
      <c r="N14" s="114">
        <v>1.36</v>
      </c>
      <c r="O14" s="114">
        <v>215.96</v>
      </c>
      <c r="P14" s="114">
        <v>414.6</v>
      </c>
      <c r="Q14" s="114">
        <v>1.2</v>
      </c>
      <c r="R14" s="114">
        <v>0.02</v>
      </c>
      <c r="S14" s="114">
        <v>93.882999999999996</v>
      </c>
      <c r="T14" s="114">
        <v>2.5329999999999999</v>
      </c>
    </row>
    <row r="15" spans="1:25" s="118" customFormat="1" ht="11.25" customHeight="1" x14ac:dyDescent="0.2">
      <c r="A15" s="198">
        <v>382</v>
      </c>
      <c r="B15" s="231" t="s">
        <v>88</v>
      </c>
      <c r="C15" s="232"/>
      <c r="D15" s="125">
        <v>200</v>
      </c>
      <c r="E15" s="126">
        <v>14.3</v>
      </c>
      <c r="F15" s="126">
        <f>3.5*D15/200</f>
        <v>3.5</v>
      </c>
      <c r="G15" s="126">
        <f>3.7*D15/200</f>
        <v>3.7</v>
      </c>
      <c r="H15" s="126">
        <f>25.5*D15/200</f>
        <v>25.5</v>
      </c>
      <c r="I15" s="126">
        <f>F15*4+G15*9+H15*4</f>
        <v>149.30000000000001</v>
      </c>
      <c r="J15" s="126">
        <f>0.06*D15/200</f>
        <v>0.06</v>
      </c>
      <c r="K15" s="126">
        <f>0.006*D15/200</f>
        <v>6.0000000000000001E-3</v>
      </c>
      <c r="L15" s="126">
        <f>1.6*D15/200</f>
        <v>1.6</v>
      </c>
      <c r="M15" s="127">
        <f>0.04*D15/200</f>
        <v>0.04</v>
      </c>
      <c r="N15" s="126">
        <f>0.4*D15/200</f>
        <v>0.4</v>
      </c>
      <c r="O15" s="126">
        <f>102.6*D15/200</f>
        <v>102.6</v>
      </c>
      <c r="P15" s="126">
        <f>178.4*D15/200</f>
        <v>178.4</v>
      </c>
      <c r="Q15" s="126">
        <f>1*D15/200</f>
        <v>1</v>
      </c>
      <c r="R15" s="127">
        <f>0.001*D15/200</f>
        <v>1E-3</v>
      </c>
      <c r="S15" s="126">
        <f>24.8*D15/200</f>
        <v>24.8</v>
      </c>
      <c r="T15" s="126">
        <f>0.48*D15/200</f>
        <v>0.48</v>
      </c>
      <c r="U15" s="128"/>
      <c r="V15" s="129"/>
      <c r="W15" s="129"/>
      <c r="X15" s="129"/>
    </row>
    <row r="16" spans="1:25" s="118" customFormat="1" ht="12.75" customHeight="1" x14ac:dyDescent="0.2">
      <c r="A16" s="131" t="s">
        <v>66</v>
      </c>
      <c r="B16" s="231" t="s">
        <v>53</v>
      </c>
      <c r="C16" s="232"/>
      <c r="D16" s="125">
        <v>40</v>
      </c>
      <c r="E16" s="126">
        <v>3.08</v>
      </c>
      <c r="F16" s="126">
        <f>1.52*D16/30</f>
        <v>2.0266666666666664</v>
      </c>
      <c r="G16" s="127">
        <f>0.16*D16/30</f>
        <v>0.21333333333333335</v>
      </c>
      <c r="H16" s="127">
        <f>9.84*D16/30</f>
        <v>13.120000000000001</v>
      </c>
      <c r="I16" s="127">
        <f>F16*4+G16*9+H16*4</f>
        <v>62.506666666666668</v>
      </c>
      <c r="J16" s="127">
        <f>0.02*D16/30</f>
        <v>2.6666666666666668E-2</v>
      </c>
      <c r="K16" s="127">
        <f>0.01*D16/30</f>
        <v>1.3333333333333334E-2</v>
      </c>
      <c r="L16" s="127">
        <f>0.44*D16/30</f>
        <v>0.58666666666666667</v>
      </c>
      <c r="M16" s="127">
        <v>0</v>
      </c>
      <c r="N16" s="127">
        <f>0.7*D16/30</f>
        <v>0.93333333333333335</v>
      </c>
      <c r="O16" s="127">
        <f>4*D16/30</f>
        <v>5.333333333333333</v>
      </c>
      <c r="P16" s="127">
        <f>13*D16/30</f>
        <v>17.333333333333332</v>
      </c>
      <c r="Q16" s="127">
        <f>0.008*D16/30</f>
        <v>1.0666666666666666E-2</v>
      </c>
      <c r="R16" s="127">
        <f>0.001*D16/30</f>
        <v>1.3333333333333333E-3</v>
      </c>
      <c r="S16" s="127">
        <v>0</v>
      </c>
      <c r="T16" s="127">
        <f>0.22*D16/30</f>
        <v>0.29333333333333333</v>
      </c>
      <c r="U16" s="128"/>
      <c r="V16" s="129"/>
      <c r="W16" s="129"/>
      <c r="X16" s="129"/>
    </row>
    <row r="17" spans="1:24" s="118" customFormat="1" ht="14.25" customHeight="1" x14ac:dyDescent="0.2">
      <c r="A17" s="60" t="e">
        <f>#REF!</f>
        <v>#REF!</v>
      </c>
      <c r="B17" s="61"/>
      <c r="C17" s="61"/>
      <c r="D17" s="62">
        <f t="shared" ref="D17:T17" si="0">SUM(D13:D16)</f>
        <v>430</v>
      </c>
      <c r="E17" s="132">
        <f t="shared" si="0"/>
        <v>70</v>
      </c>
      <c r="F17" s="38">
        <f t="shared" si="0"/>
        <v>21.696666666666669</v>
      </c>
      <c r="G17" s="37">
        <f t="shared" si="0"/>
        <v>18.293333333333337</v>
      </c>
      <c r="H17" s="46">
        <f t="shared" si="0"/>
        <v>79.63000000000001</v>
      </c>
      <c r="I17" s="37">
        <f t="shared" si="0"/>
        <v>569.94666666666672</v>
      </c>
      <c r="J17" s="38">
        <f t="shared" si="0"/>
        <v>0.35466666666666669</v>
      </c>
      <c r="K17" s="38">
        <f t="shared" si="0"/>
        <v>0.43433333333333329</v>
      </c>
      <c r="L17" s="38">
        <f t="shared" si="0"/>
        <v>3.2816666666666672</v>
      </c>
      <c r="M17" s="38">
        <f t="shared" si="0"/>
        <v>0.26100000000000001</v>
      </c>
      <c r="N17" s="39">
        <f t="shared" si="0"/>
        <v>2.7233333333333336</v>
      </c>
      <c r="O17" s="38">
        <f t="shared" si="0"/>
        <v>375.05333333333334</v>
      </c>
      <c r="P17" s="38">
        <f t="shared" si="0"/>
        <v>646.83333333333337</v>
      </c>
      <c r="Q17" s="38">
        <f t="shared" si="0"/>
        <v>2.3706666666666667</v>
      </c>
      <c r="R17" s="39">
        <f t="shared" si="0"/>
        <v>2.4333333333333332E-2</v>
      </c>
      <c r="S17" s="38">
        <f t="shared" si="0"/>
        <v>124.34299999999999</v>
      </c>
      <c r="T17" s="38">
        <f t="shared" si="0"/>
        <v>3.3363333333333332</v>
      </c>
      <c r="U17" s="37"/>
      <c r="V17" s="120"/>
      <c r="W17" s="120"/>
      <c r="X17" s="120"/>
    </row>
    <row r="18" spans="1:24" s="118" customFormat="1" ht="14.25" customHeight="1" x14ac:dyDescent="0.2">
      <c r="A18" s="220" t="s">
        <v>62</v>
      </c>
      <c r="B18" s="221"/>
      <c r="C18" s="221"/>
      <c r="D18" s="222"/>
      <c r="E18" s="188"/>
      <c r="F18" s="66">
        <f t="shared" ref="F18:T18" si="1">F17/F37</f>
        <v>0.24107407407407411</v>
      </c>
      <c r="G18" s="66">
        <f t="shared" si="1"/>
        <v>0.19884057971014496</v>
      </c>
      <c r="H18" s="66">
        <f t="shared" si="1"/>
        <v>0.20791122715404703</v>
      </c>
      <c r="I18" s="66">
        <f t="shared" si="1"/>
        <v>0.20953921568627454</v>
      </c>
      <c r="J18" s="66">
        <f t="shared" si="1"/>
        <v>0.25333333333333335</v>
      </c>
      <c r="K18" s="66">
        <f t="shared" si="1"/>
        <v>0.2714583333333333</v>
      </c>
      <c r="L18" s="66">
        <f t="shared" si="1"/>
        <v>4.6880952380952391E-2</v>
      </c>
      <c r="M18" s="66">
        <f t="shared" si="1"/>
        <v>0.28999999999999998</v>
      </c>
      <c r="N18" s="66">
        <f t="shared" si="1"/>
        <v>0.22694444444444448</v>
      </c>
      <c r="O18" s="42">
        <f t="shared" si="1"/>
        <v>0.31254444444444446</v>
      </c>
      <c r="P18" s="66">
        <f t="shared" si="1"/>
        <v>0.53902777777777777</v>
      </c>
      <c r="Q18" s="66">
        <f t="shared" si="1"/>
        <v>0.16933333333333334</v>
      </c>
      <c r="R18" s="66">
        <f t="shared" si="1"/>
        <v>0.24333333333333332</v>
      </c>
      <c r="S18" s="66">
        <f t="shared" si="1"/>
        <v>0.4144766666666666</v>
      </c>
      <c r="T18" s="42">
        <f t="shared" si="1"/>
        <v>0.18535185185185185</v>
      </c>
      <c r="U18" s="122"/>
      <c r="V18" s="120"/>
      <c r="W18" s="120"/>
      <c r="X18" s="120"/>
    </row>
    <row r="19" spans="1:24" s="118" customFormat="1" ht="11.25" customHeight="1" x14ac:dyDescent="0.2">
      <c r="A19" s="227" t="s">
        <v>28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10"/>
      <c r="V19" s="23"/>
      <c r="W19" s="23"/>
      <c r="X19" s="23"/>
    </row>
    <row r="20" spans="1:24" s="118" customFormat="1" ht="11.25" hidden="1" customHeight="1" x14ac:dyDescent="0.2">
      <c r="A20" s="74" t="s">
        <v>82</v>
      </c>
      <c r="B20" s="243" t="s">
        <v>81</v>
      </c>
      <c r="C20" s="243"/>
      <c r="D20" s="74"/>
      <c r="E20" s="74"/>
      <c r="F20" s="81">
        <f>0.77*D20/60</f>
        <v>0</v>
      </c>
      <c r="G20" s="74">
        <f>2.04*D20/60</f>
        <v>0</v>
      </c>
      <c r="H20" s="80">
        <f>2.26*D20/60</f>
        <v>0</v>
      </c>
      <c r="I20" s="82">
        <f>F20*4+G20*9+H20*4</f>
        <v>0</v>
      </c>
      <c r="J20" s="80">
        <f>0.02*D20/60</f>
        <v>0</v>
      </c>
      <c r="K20" s="80">
        <f>0.02*D20/60</f>
        <v>0</v>
      </c>
      <c r="L20" s="74">
        <f>19.95*D20/60</f>
        <v>0</v>
      </c>
      <c r="M20" s="80">
        <f>0.01*D20/60</f>
        <v>0</v>
      </c>
      <c r="N20" s="80">
        <f>0.0787*D20/60</f>
        <v>0</v>
      </c>
      <c r="O20" s="81">
        <f>25.7*D20/60</f>
        <v>0</v>
      </c>
      <c r="P20" s="79">
        <f>13.62*D20/60</f>
        <v>0</v>
      </c>
      <c r="Q20" s="80">
        <f>0.17*D20/60</f>
        <v>0</v>
      </c>
      <c r="R20" s="74">
        <f>0.03*D20/60</f>
        <v>0</v>
      </c>
      <c r="S20" s="81">
        <f>9*D20/60</f>
        <v>0</v>
      </c>
      <c r="T20" s="81">
        <f>0.28*D20/60</f>
        <v>0</v>
      </c>
      <c r="U20" s="10"/>
      <c r="V20" s="23"/>
      <c r="W20" s="23"/>
      <c r="X20" s="23"/>
    </row>
    <row r="21" spans="1:24" s="118" customFormat="1" ht="13.5" customHeight="1" x14ac:dyDescent="0.2">
      <c r="A21" s="131">
        <v>52</v>
      </c>
      <c r="B21" s="231" t="s">
        <v>54</v>
      </c>
      <c r="C21" s="232"/>
      <c r="D21" s="125">
        <v>100</v>
      </c>
      <c r="E21" s="126">
        <v>8.32</v>
      </c>
      <c r="F21" s="126">
        <f>0.86*D21/60</f>
        <v>1.4333333333333333</v>
      </c>
      <c r="G21" s="126">
        <f>3.05*D21/60</f>
        <v>5.083333333333333</v>
      </c>
      <c r="H21" s="126">
        <f>5.13*D21/60</f>
        <v>8.5500000000000007</v>
      </c>
      <c r="I21" s="126">
        <f>F21*4+G21*9+H21*4</f>
        <v>85.683333333333337</v>
      </c>
      <c r="J21" s="126">
        <f>0.01*D21/60</f>
        <v>1.6666666666666666E-2</v>
      </c>
      <c r="K21" s="126">
        <f>0.02*D21/60</f>
        <v>3.3333333333333333E-2</v>
      </c>
      <c r="L21" s="124">
        <f>5.7*D21/60</f>
        <v>9.5</v>
      </c>
      <c r="M21" s="126">
        <f>0.01*D21/60</f>
        <v>1.6666666666666666E-2</v>
      </c>
      <c r="N21" s="126">
        <f>0.1*D21/60</f>
        <v>0.16666666666666666</v>
      </c>
      <c r="O21" s="126">
        <f>26.61*D21/60</f>
        <v>44.35</v>
      </c>
      <c r="P21" s="126">
        <f>25.64*D21/60</f>
        <v>42.733333333333334</v>
      </c>
      <c r="Q21" s="126">
        <f>0.43*D21/60</f>
        <v>0.71666666666666667</v>
      </c>
      <c r="R21" s="127">
        <f>0.01*D21/60</f>
        <v>1.6666666666666666E-2</v>
      </c>
      <c r="S21" s="124">
        <f>12.87*D21/60</f>
        <v>21.45</v>
      </c>
      <c r="T21" s="126">
        <f>0.84*D21/60</f>
        <v>1.4</v>
      </c>
      <c r="U21" s="128"/>
      <c r="V21" s="129"/>
      <c r="W21" s="129"/>
      <c r="X21" s="129"/>
    </row>
    <row r="22" spans="1:24" s="118" customFormat="1" ht="22.5" customHeight="1" x14ac:dyDescent="0.2">
      <c r="A22" s="198">
        <v>82</v>
      </c>
      <c r="B22" s="231" t="s">
        <v>96</v>
      </c>
      <c r="C22" s="232"/>
      <c r="D22" s="123">
        <v>250</v>
      </c>
      <c r="E22" s="123">
        <v>13.62</v>
      </c>
      <c r="F22" s="126">
        <v>2.4300000000000002</v>
      </c>
      <c r="G22" s="126">
        <v>3.12</v>
      </c>
      <c r="H22" s="126">
        <v>12.01</v>
      </c>
      <c r="I22" s="126">
        <f t="shared" ref="I22:I27" si="2">F22*4+G22*9+H22*4</f>
        <v>85.84</v>
      </c>
      <c r="J22" s="123">
        <v>6.4000000000000001E-2</v>
      </c>
      <c r="K22" s="123">
        <v>6.4000000000000001E-2</v>
      </c>
      <c r="L22" s="126">
        <v>20.98</v>
      </c>
      <c r="M22" s="127">
        <v>7.5999999999999998E-2</v>
      </c>
      <c r="N22" s="126">
        <v>0.25700000000000001</v>
      </c>
      <c r="O22" s="126">
        <v>49.59</v>
      </c>
      <c r="P22" s="126">
        <v>58.68</v>
      </c>
      <c r="Q22" s="126">
        <v>0.746</v>
      </c>
      <c r="R22" s="127">
        <v>1.0999999999999999E-2</v>
      </c>
      <c r="S22" s="126">
        <v>25.43</v>
      </c>
      <c r="T22" s="126">
        <v>1.32</v>
      </c>
      <c r="U22" s="128"/>
      <c r="V22" s="129"/>
      <c r="W22" s="129"/>
      <c r="X22" s="129"/>
    </row>
    <row r="23" spans="1:24" s="118" customFormat="1" ht="21.75" customHeight="1" x14ac:dyDescent="0.2">
      <c r="A23" s="64">
        <v>268</v>
      </c>
      <c r="B23" s="231" t="s">
        <v>91</v>
      </c>
      <c r="C23" s="232"/>
      <c r="D23" s="68">
        <v>100</v>
      </c>
      <c r="E23" s="68">
        <v>47.22</v>
      </c>
      <c r="F23" s="199">
        <f>14.8*D23/80</f>
        <v>18.5</v>
      </c>
      <c r="G23" s="199">
        <f>20.69*D23/80</f>
        <v>25.862500000000001</v>
      </c>
      <c r="H23" s="199">
        <f>3.81*D23/80</f>
        <v>4.7625000000000002</v>
      </c>
      <c r="I23" s="199">
        <f t="shared" si="2"/>
        <v>325.81250000000006</v>
      </c>
      <c r="J23" s="69">
        <f>0.18*D23/80</f>
        <v>0.22500000000000001</v>
      </c>
      <c r="K23" s="199">
        <f>0.12*D23/80</f>
        <v>0.15</v>
      </c>
      <c r="L23" s="199">
        <f>0.43*D23/80</f>
        <v>0.53749999999999998</v>
      </c>
      <c r="M23" s="69">
        <v>9.9000000000000005E-2</v>
      </c>
      <c r="N23" s="69">
        <f>0.01*D23/80</f>
        <v>1.2500000000000001E-2</v>
      </c>
      <c r="O23" s="199">
        <f>48.45*D23/80</f>
        <v>60.5625</v>
      </c>
      <c r="P23" s="199">
        <f>177.9*D23/80</f>
        <v>222.375</v>
      </c>
      <c r="Q23" s="69">
        <f>2.28*D23/80</f>
        <v>2.8499999999999996</v>
      </c>
      <c r="R23" s="69">
        <f>0.04*D23/80</f>
        <v>0.05</v>
      </c>
      <c r="S23" s="199">
        <f>24.45*D23/80</f>
        <v>30.5625</v>
      </c>
      <c r="T23" s="199">
        <f>1.93*D23/80</f>
        <v>2.4125000000000001</v>
      </c>
      <c r="U23" s="31"/>
      <c r="V23" s="32"/>
      <c r="W23" s="32"/>
      <c r="X23" s="32"/>
    </row>
    <row r="24" spans="1:24" s="118" customFormat="1" ht="19.5" customHeight="1" x14ac:dyDescent="0.2">
      <c r="A24" s="198">
        <v>304</v>
      </c>
      <c r="B24" s="219" t="s">
        <v>98</v>
      </c>
      <c r="C24" s="219"/>
      <c r="D24" s="125">
        <v>180</v>
      </c>
      <c r="E24" s="126">
        <v>8.1999999999999993</v>
      </c>
      <c r="F24" s="126">
        <v>4.4400000000000004</v>
      </c>
      <c r="G24" s="126">
        <v>6.44</v>
      </c>
      <c r="H24" s="126">
        <v>44.01</v>
      </c>
      <c r="I24" s="126">
        <v>251.82</v>
      </c>
      <c r="J24" s="126">
        <v>3.5999999999999997E-2</v>
      </c>
      <c r="K24" s="123">
        <v>2.4E-2</v>
      </c>
      <c r="L24" s="126">
        <v>0</v>
      </c>
      <c r="M24" s="123">
        <v>4.8000000000000001E-2</v>
      </c>
      <c r="N24" s="124">
        <v>0</v>
      </c>
      <c r="O24" s="124">
        <v>17.93</v>
      </c>
      <c r="P24" s="125">
        <v>95.25</v>
      </c>
      <c r="Q24" s="130">
        <v>0</v>
      </c>
      <c r="R24" s="124">
        <v>1E-3</v>
      </c>
      <c r="S24" s="126">
        <v>33.47</v>
      </c>
      <c r="T24" s="128">
        <v>0.70799999999999996</v>
      </c>
      <c r="U24" s="129"/>
      <c r="V24" s="129"/>
      <c r="W24" s="129"/>
      <c r="X24" s="129"/>
    </row>
    <row r="25" spans="1:24" x14ac:dyDescent="0.2">
      <c r="A25" s="161">
        <v>699</v>
      </c>
      <c r="B25" s="241" t="s">
        <v>108</v>
      </c>
      <c r="C25" s="242"/>
      <c r="D25" s="162">
        <v>200</v>
      </c>
      <c r="E25" s="163">
        <v>7.5</v>
      </c>
      <c r="F25" s="163">
        <v>0.1</v>
      </c>
      <c r="G25" s="164">
        <v>0</v>
      </c>
      <c r="H25" s="165">
        <v>15.7</v>
      </c>
      <c r="I25" s="163">
        <v>63.2</v>
      </c>
      <c r="J25" s="164">
        <v>1.7999999999999999E-2</v>
      </c>
      <c r="K25" s="164">
        <v>1.2E-2</v>
      </c>
      <c r="L25" s="165">
        <v>8</v>
      </c>
      <c r="M25" s="164">
        <v>0</v>
      </c>
      <c r="N25" s="163">
        <v>0.2</v>
      </c>
      <c r="O25" s="163">
        <v>10.8</v>
      </c>
      <c r="P25" s="163">
        <v>1.7</v>
      </c>
      <c r="Q25" s="163">
        <v>0</v>
      </c>
      <c r="R25" s="166">
        <v>0</v>
      </c>
      <c r="S25" s="163">
        <v>5.8</v>
      </c>
      <c r="T25" s="163">
        <v>1.6</v>
      </c>
      <c r="U25"/>
      <c r="V25"/>
      <c r="W25"/>
      <c r="X25"/>
    </row>
    <row r="26" spans="1:24" s="118" customFormat="1" ht="11.25" customHeight="1" x14ac:dyDescent="0.2">
      <c r="A26" s="67" t="s">
        <v>66</v>
      </c>
      <c r="B26" s="231" t="s">
        <v>46</v>
      </c>
      <c r="C26" s="232"/>
      <c r="D26" s="125">
        <v>40</v>
      </c>
      <c r="E26" s="126">
        <v>2.04</v>
      </c>
      <c r="F26" s="126">
        <f>2.64*D26/40</f>
        <v>2.64</v>
      </c>
      <c r="G26" s="126">
        <f>0.48*D26/40</f>
        <v>0.48</v>
      </c>
      <c r="H26" s="126">
        <f>13.68*D26/40</f>
        <v>13.680000000000001</v>
      </c>
      <c r="I26" s="126">
        <f t="shared" si="2"/>
        <v>69.600000000000009</v>
      </c>
      <c r="J26" s="123">
        <f>0.08*D26/40</f>
        <v>0.08</v>
      </c>
      <c r="K26" s="126">
        <f>0.04*D26/40</f>
        <v>0.04</v>
      </c>
      <c r="L26" s="125">
        <v>0</v>
      </c>
      <c r="M26" s="125">
        <v>0</v>
      </c>
      <c r="N26" s="126">
        <f>2.4*D26/40</f>
        <v>2.4</v>
      </c>
      <c r="O26" s="126">
        <f>14*D26/40</f>
        <v>14</v>
      </c>
      <c r="P26" s="126">
        <f>63.2*D26/40</f>
        <v>63.2</v>
      </c>
      <c r="Q26" s="126">
        <f>1.2*D26/40</f>
        <v>1.2</v>
      </c>
      <c r="R26" s="127">
        <f>0.001*D26/40</f>
        <v>1E-3</v>
      </c>
      <c r="S26" s="126">
        <f>9.4*D26/40</f>
        <v>9.4</v>
      </c>
      <c r="T26" s="123">
        <f>0.78*D26/40</f>
        <v>0.78</v>
      </c>
      <c r="U26" s="29"/>
      <c r="V26" s="30"/>
      <c r="W26" s="30"/>
      <c r="X26" s="30"/>
    </row>
    <row r="27" spans="1:24" s="118" customFormat="1" ht="11.25" customHeight="1" x14ac:dyDescent="0.2">
      <c r="A27" s="131" t="s">
        <v>66</v>
      </c>
      <c r="B27" s="231" t="s">
        <v>53</v>
      </c>
      <c r="C27" s="232"/>
      <c r="D27" s="125">
        <v>40</v>
      </c>
      <c r="E27" s="126">
        <v>3.1</v>
      </c>
      <c r="F27" s="126">
        <f>1.52*D27/30</f>
        <v>2.0266666666666664</v>
      </c>
      <c r="G27" s="127">
        <f>0.16*D27/30</f>
        <v>0.21333333333333335</v>
      </c>
      <c r="H27" s="127">
        <f>9.84*D27/30</f>
        <v>13.120000000000001</v>
      </c>
      <c r="I27" s="127">
        <f t="shared" si="2"/>
        <v>62.506666666666668</v>
      </c>
      <c r="J27" s="127">
        <f>0.02*D27/30</f>
        <v>2.6666666666666668E-2</v>
      </c>
      <c r="K27" s="127">
        <f>0.01*D27/30</f>
        <v>1.3333333333333334E-2</v>
      </c>
      <c r="L27" s="127">
        <f>0.44*D27/30</f>
        <v>0.58666666666666667</v>
      </c>
      <c r="M27" s="127">
        <v>0</v>
      </c>
      <c r="N27" s="127">
        <f>0.7*D27/30</f>
        <v>0.93333333333333335</v>
      </c>
      <c r="O27" s="127">
        <f>4*D27/30</f>
        <v>5.333333333333333</v>
      </c>
      <c r="P27" s="127">
        <f>13*D27/30</f>
        <v>17.333333333333332</v>
      </c>
      <c r="Q27" s="127">
        <f>0.008*D27/30</f>
        <v>1.0666666666666666E-2</v>
      </c>
      <c r="R27" s="127">
        <f>0.001*D27/30</f>
        <v>1.3333333333333333E-3</v>
      </c>
      <c r="S27" s="127">
        <v>0</v>
      </c>
      <c r="T27" s="127">
        <f>0.22*D27/30</f>
        <v>0.29333333333333333</v>
      </c>
      <c r="U27" s="128"/>
      <c r="V27" s="129"/>
      <c r="W27" s="129"/>
      <c r="X27" s="129"/>
    </row>
    <row r="28" spans="1:24" s="118" customFormat="1" ht="11.25" customHeight="1" x14ac:dyDescent="0.2">
      <c r="A28" s="58" t="s">
        <v>29</v>
      </c>
      <c r="B28" s="59"/>
      <c r="C28" s="59"/>
      <c r="D28" s="62">
        <f t="shared" ref="D28:I28" si="3">SUM(D21:D27)</f>
        <v>910</v>
      </c>
      <c r="E28" s="132">
        <f t="shared" si="3"/>
        <v>90</v>
      </c>
      <c r="F28" s="38">
        <f t="shared" si="3"/>
        <v>31.570000000000004</v>
      </c>
      <c r="G28" s="37">
        <f t="shared" si="3"/>
        <v>41.199166666666656</v>
      </c>
      <c r="H28" s="37">
        <f t="shared" si="3"/>
        <v>111.83250000000001</v>
      </c>
      <c r="I28" s="37">
        <f t="shared" si="3"/>
        <v>944.4625000000002</v>
      </c>
      <c r="J28" s="38">
        <f t="shared" ref="J28:S28" si="4">SUM(J21:J27)</f>
        <v>0.46633333333333332</v>
      </c>
      <c r="K28" s="38">
        <f t="shared" si="4"/>
        <v>0.33666666666666661</v>
      </c>
      <c r="L28" s="37">
        <f t="shared" si="4"/>
        <v>39.604166666666664</v>
      </c>
      <c r="M28" s="38">
        <f t="shared" si="4"/>
        <v>0.23966666666666664</v>
      </c>
      <c r="N28" s="41">
        <f t="shared" si="4"/>
        <v>3.9695</v>
      </c>
      <c r="O28" s="37">
        <f t="shared" si="4"/>
        <v>202.56583333333336</v>
      </c>
      <c r="P28" s="38">
        <f t="shared" si="4"/>
        <v>501.27166666666659</v>
      </c>
      <c r="Q28" s="37">
        <f t="shared" si="4"/>
        <v>5.5233333333333334</v>
      </c>
      <c r="R28" s="39">
        <f t="shared" si="4"/>
        <v>8.1000000000000003E-2</v>
      </c>
      <c r="S28" s="46">
        <f t="shared" si="4"/>
        <v>126.1125</v>
      </c>
      <c r="T28" s="38">
        <f>SUM(T21:T27)</f>
        <v>8.5138333333333325</v>
      </c>
      <c r="U28" s="37"/>
      <c r="V28" s="120"/>
      <c r="W28" s="120"/>
      <c r="X28" s="120"/>
    </row>
    <row r="29" spans="1:24" s="118" customFormat="1" ht="11.25" customHeight="1" x14ac:dyDescent="0.2">
      <c r="A29" s="220" t="s">
        <v>62</v>
      </c>
      <c r="B29" s="221"/>
      <c r="C29" s="221"/>
      <c r="D29" s="222"/>
      <c r="E29" s="187"/>
      <c r="F29" s="133">
        <f t="shared" ref="F29:T29" si="5">F28/F37</f>
        <v>0.3507777777777778</v>
      </c>
      <c r="G29" s="66">
        <f t="shared" si="5"/>
        <v>0.44781702898550713</v>
      </c>
      <c r="H29" s="66">
        <f t="shared" si="5"/>
        <v>0.291990861618799</v>
      </c>
      <c r="I29" s="66">
        <f t="shared" si="5"/>
        <v>0.3472288602941177</v>
      </c>
      <c r="J29" s="66">
        <f t="shared" si="5"/>
        <v>0.33309523809523811</v>
      </c>
      <c r="K29" s="66">
        <f t="shared" si="5"/>
        <v>0.21041666666666661</v>
      </c>
      <c r="L29" s="66">
        <f t="shared" si="5"/>
        <v>0.56577380952380951</v>
      </c>
      <c r="M29" s="66">
        <f t="shared" si="5"/>
        <v>0.26629629629629625</v>
      </c>
      <c r="N29" s="66">
        <f t="shared" si="5"/>
        <v>0.33079166666666665</v>
      </c>
      <c r="O29" s="42">
        <f t="shared" si="5"/>
        <v>0.16880486111111112</v>
      </c>
      <c r="P29" s="66">
        <f t="shared" si="5"/>
        <v>0.4177263888888888</v>
      </c>
      <c r="Q29" s="66">
        <f t="shared" si="5"/>
        <v>0.39452380952380955</v>
      </c>
      <c r="R29" s="66">
        <f t="shared" si="5"/>
        <v>0.80999999999999994</v>
      </c>
      <c r="S29" s="66">
        <f t="shared" si="5"/>
        <v>0.420375</v>
      </c>
      <c r="T29" s="42">
        <f t="shared" si="5"/>
        <v>0.47299074074074071</v>
      </c>
      <c r="U29" s="122"/>
      <c r="V29" s="120"/>
      <c r="W29" s="120"/>
      <c r="X29" s="120"/>
    </row>
    <row r="30" spans="1:24" s="118" customFormat="1" ht="11.25" hidden="1" customHeight="1" x14ac:dyDescent="0.2">
      <c r="A30" s="186"/>
      <c r="B30" s="187"/>
      <c r="C30" s="187"/>
      <c r="D30" s="187"/>
      <c r="E30" s="146">
        <f>90-E28</f>
        <v>0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43"/>
      <c r="P30" s="133"/>
      <c r="Q30" s="133"/>
      <c r="R30" s="133"/>
      <c r="S30" s="133"/>
      <c r="T30" s="144"/>
      <c r="U30" s="122"/>
      <c r="V30" s="120"/>
      <c r="W30" s="120"/>
      <c r="X30" s="120"/>
    </row>
    <row r="31" spans="1:24" s="118" customFormat="1" ht="11.25" customHeight="1" x14ac:dyDescent="0.2">
      <c r="A31" s="227" t="s">
        <v>30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9"/>
      <c r="U31" s="10"/>
      <c r="V31" s="23"/>
      <c r="W31" s="23"/>
      <c r="X31" s="23"/>
    </row>
    <row r="32" spans="1:24" s="107" customFormat="1" ht="11.25" customHeight="1" x14ac:dyDescent="0.2">
      <c r="A32" s="113"/>
      <c r="B32" s="238"/>
      <c r="C32" s="238"/>
      <c r="D32" s="109"/>
      <c r="E32" s="108"/>
      <c r="F32" s="108"/>
      <c r="G32" s="170"/>
      <c r="H32" s="170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</row>
    <row r="33" spans="1:24" s="107" customFormat="1" ht="12.75" customHeight="1" x14ac:dyDescent="0.2">
      <c r="A33" s="172"/>
      <c r="B33" s="239"/>
      <c r="C33" s="239"/>
      <c r="D33" s="173"/>
      <c r="E33" s="114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1:24" s="1" customFormat="1" ht="11.25" customHeight="1" x14ac:dyDescent="0.2">
      <c r="A34" s="58" t="s">
        <v>31</v>
      </c>
      <c r="B34" s="59"/>
      <c r="C34" s="59"/>
      <c r="D34" s="62">
        <f t="shared" ref="D34:I34" si="6">SUM(D32:D33)</f>
        <v>0</v>
      </c>
      <c r="E34" s="132">
        <f t="shared" si="6"/>
        <v>0</v>
      </c>
      <c r="F34" s="38">
        <f t="shared" si="6"/>
        <v>0</v>
      </c>
      <c r="G34" s="37">
        <f t="shared" si="6"/>
        <v>0</v>
      </c>
      <c r="H34" s="37">
        <f t="shared" si="6"/>
        <v>0</v>
      </c>
      <c r="I34" s="37">
        <f t="shared" si="6"/>
        <v>0</v>
      </c>
      <c r="J34" s="38">
        <f t="shared" ref="J34:T34" si="7">SUM(J32:J33)</f>
        <v>0</v>
      </c>
      <c r="K34" s="38">
        <f t="shared" si="7"/>
        <v>0</v>
      </c>
      <c r="L34" s="37">
        <f t="shared" si="7"/>
        <v>0</v>
      </c>
      <c r="M34" s="38">
        <f t="shared" si="7"/>
        <v>0</v>
      </c>
      <c r="N34" s="37">
        <f t="shared" si="7"/>
        <v>0</v>
      </c>
      <c r="O34" s="37">
        <f t="shared" si="7"/>
        <v>0</v>
      </c>
      <c r="P34" s="37">
        <f t="shared" si="7"/>
        <v>0</v>
      </c>
      <c r="Q34" s="37">
        <f t="shared" si="7"/>
        <v>0</v>
      </c>
      <c r="R34" s="39">
        <f t="shared" si="7"/>
        <v>0</v>
      </c>
      <c r="S34" s="37">
        <f t="shared" si="7"/>
        <v>0</v>
      </c>
      <c r="T34" s="38">
        <f t="shared" si="7"/>
        <v>0</v>
      </c>
      <c r="U34" s="37"/>
      <c r="V34" s="120"/>
      <c r="W34" s="120"/>
      <c r="X34" s="120"/>
    </row>
    <row r="35" spans="1:24" s="1" customFormat="1" ht="11.25" customHeight="1" x14ac:dyDescent="0.2">
      <c r="A35" s="220" t="s">
        <v>62</v>
      </c>
      <c r="B35" s="221"/>
      <c r="C35" s="221"/>
      <c r="D35" s="222"/>
      <c r="E35" s="188"/>
      <c r="F35" s="66">
        <f>F34/F37</f>
        <v>0</v>
      </c>
      <c r="G35" s="66">
        <f t="shared" ref="G35:T35" si="8">G34/G37</f>
        <v>0</v>
      </c>
      <c r="H35" s="66">
        <f t="shared" si="8"/>
        <v>0</v>
      </c>
      <c r="I35" s="66">
        <f t="shared" si="8"/>
        <v>0</v>
      </c>
      <c r="J35" s="66">
        <f t="shared" si="8"/>
        <v>0</v>
      </c>
      <c r="K35" s="66">
        <f t="shared" si="8"/>
        <v>0</v>
      </c>
      <c r="L35" s="66">
        <f t="shared" si="8"/>
        <v>0</v>
      </c>
      <c r="M35" s="66">
        <f t="shared" si="8"/>
        <v>0</v>
      </c>
      <c r="N35" s="66">
        <f t="shared" si="8"/>
        <v>0</v>
      </c>
      <c r="O35" s="66">
        <f t="shared" si="8"/>
        <v>0</v>
      </c>
      <c r="P35" s="66">
        <f t="shared" si="8"/>
        <v>0</v>
      </c>
      <c r="Q35" s="66">
        <f t="shared" si="8"/>
        <v>0</v>
      </c>
      <c r="R35" s="66">
        <f t="shared" si="8"/>
        <v>0</v>
      </c>
      <c r="S35" s="66">
        <f t="shared" si="8"/>
        <v>0</v>
      </c>
      <c r="T35" s="42">
        <f t="shared" si="8"/>
        <v>0</v>
      </c>
      <c r="U35" s="122"/>
      <c r="V35" s="120"/>
      <c r="W35" s="120"/>
      <c r="X35" s="120"/>
    </row>
    <row r="36" spans="1:24" s="1" customFormat="1" ht="11.25" customHeight="1" x14ac:dyDescent="0.2">
      <c r="A36" s="235" t="s">
        <v>61</v>
      </c>
      <c r="B36" s="236"/>
      <c r="C36" s="236"/>
      <c r="D36" s="237"/>
      <c r="E36" s="193"/>
      <c r="F36" s="38">
        <f t="shared" ref="F36:T36" si="9">SUM(F17,F28,F34)</f>
        <v>53.266666666666673</v>
      </c>
      <c r="G36" s="37">
        <f t="shared" si="9"/>
        <v>59.492499999999993</v>
      </c>
      <c r="H36" s="37">
        <f t="shared" si="9"/>
        <v>191.46250000000003</v>
      </c>
      <c r="I36" s="37">
        <f t="shared" si="9"/>
        <v>1514.4091666666668</v>
      </c>
      <c r="J36" s="38">
        <f t="shared" si="9"/>
        <v>0.82099999999999995</v>
      </c>
      <c r="K36" s="38">
        <f t="shared" si="9"/>
        <v>0.77099999999999991</v>
      </c>
      <c r="L36" s="46">
        <f t="shared" si="9"/>
        <v>42.885833333333331</v>
      </c>
      <c r="M36" s="38">
        <f t="shared" si="9"/>
        <v>0.50066666666666659</v>
      </c>
      <c r="N36" s="46">
        <f t="shared" si="9"/>
        <v>6.6928333333333336</v>
      </c>
      <c r="O36" s="37">
        <f t="shared" si="9"/>
        <v>577.61916666666673</v>
      </c>
      <c r="P36" s="37">
        <f t="shared" si="9"/>
        <v>1148.105</v>
      </c>
      <c r="Q36" s="37">
        <f t="shared" si="9"/>
        <v>7.8940000000000001</v>
      </c>
      <c r="R36" s="39">
        <f t="shared" si="9"/>
        <v>0.10533333333333333</v>
      </c>
      <c r="S36" s="38">
        <f t="shared" si="9"/>
        <v>250.45549999999997</v>
      </c>
      <c r="T36" s="38">
        <f t="shared" si="9"/>
        <v>11.850166666666667</v>
      </c>
      <c r="U36" s="40"/>
      <c r="V36" s="120"/>
      <c r="W36" s="120"/>
      <c r="X36" s="120"/>
    </row>
    <row r="37" spans="1:24" s="1" customFormat="1" ht="11.25" customHeight="1" x14ac:dyDescent="0.2">
      <c r="A37" s="235" t="s">
        <v>63</v>
      </c>
      <c r="B37" s="236"/>
      <c r="C37" s="236"/>
      <c r="D37" s="237"/>
      <c r="E37" s="193"/>
      <c r="F37" s="126">
        <v>90</v>
      </c>
      <c r="G37" s="124">
        <v>92</v>
      </c>
      <c r="H37" s="124">
        <v>383</v>
      </c>
      <c r="I37" s="124">
        <v>2720</v>
      </c>
      <c r="J37" s="126">
        <v>1.4</v>
      </c>
      <c r="K37" s="126">
        <v>1.6</v>
      </c>
      <c r="L37" s="125">
        <v>70</v>
      </c>
      <c r="M37" s="126">
        <v>0.9</v>
      </c>
      <c r="N37" s="125">
        <v>12</v>
      </c>
      <c r="O37" s="125">
        <v>1200</v>
      </c>
      <c r="P37" s="125">
        <v>1200</v>
      </c>
      <c r="Q37" s="125">
        <v>14</v>
      </c>
      <c r="R37" s="124">
        <v>0.1</v>
      </c>
      <c r="S37" s="125">
        <v>300</v>
      </c>
      <c r="T37" s="126">
        <v>18</v>
      </c>
      <c r="U37" s="128"/>
      <c r="V37" s="129"/>
      <c r="W37" s="129"/>
      <c r="X37" s="129"/>
    </row>
    <row r="38" spans="1:24" s="7" customFormat="1" ht="11.25" customHeight="1" x14ac:dyDescent="0.2">
      <c r="A38" s="220" t="s">
        <v>62</v>
      </c>
      <c r="B38" s="221"/>
      <c r="C38" s="221"/>
      <c r="D38" s="222"/>
      <c r="E38" s="188"/>
      <c r="F38" s="66">
        <f t="shared" ref="F38:T38" si="10">F36/F37</f>
        <v>0.59185185185185196</v>
      </c>
      <c r="G38" s="42">
        <f t="shared" si="10"/>
        <v>0.64665760869565214</v>
      </c>
      <c r="H38" s="42">
        <f t="shared" si="10"/>
        <v>0.49990208877284603</v>
      </c>
      <c r="I38" s="42">
        <f t="shared" si="10"/>
        <v>0.55676807598039224</v>
      </c>
      <c r="J38" s="42">
        <f t="shared" si="10"/>
        <v>0.58642857142857141</v>
      </c>
      <c r="K38" s="42">
        <f t="shared" si="10"/>
        <v>0.48187499999999994</v>
      </c>
      <c r="L38" s="42">
        <f t="shared" si="10"/>
        <v>0.61265476190476187</v>
      </c>
      <c r="M38" s="43">
        <f t="shared" si="10"/>
        <v>0.55629629629629618</v>
      </c>
      <c r="N38" s="42">
        <f t="shared" si="10"/>
        <v>0.5577361111111111</v>
      </c>
      <c r="O38" s="42">
        <f t="shared" si="10"/>
        <v>0.48134930555555561</v>
      </c>
      <c r="P38" s="42">
        <f t="shared" si="10"/>
        <v>0.95675416666666668</v>
      </c>
      <c r="Q38" s="42">
        <f t="shared" si="10"/>
        <v>0.56385714285714283</v>
      </c>
      <c r="R38" s="43">
        <f t="shared" si="10"/>
        <v>1.0533333333333332</v>
      </c>
      <c r="S38" s="42">
        <f t="shared" si="10"/>
        <v>0.83485166666666655</v>
      </c>
      <c r="T38" s="43">
        <f t="shared" si="10"/>
        <v>0.65834259259259253</v>
      </c>
      <c r="U38" s="48"/>
      <c r="V38" s="49"/>
      <c r="W38" s="49"/>
      <c r="X38" s="49"/>
    </row>
    <row r="39" spans="1:24" s="84" customFormat="1" ht="13.5" customHeight="1" x14ac:dyDescent="0.2">
      <c r="A39" s="85"/>
      <c r="B39" s="85"/>
      <c r="C39" s="85"/>
      <c r="D39" s="85"/>
      <c r="E39" s="85"/>
      <c r="F39" s="93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6"/>
      <c r="W39" s="83"/>
      <c r="X39" s="83"/>
    </row>
  </sheetData>
  <autoFilter ref="B1:B39"/>
  <mergeCells count="47">
    <mergeCell ref="M1:T1"/>
    <mergeCell ref="U1:U4"/>
    <mergeCell ref="V1:V4"/>
    <mergeCell ref="X1:X4"/>
    <mergeCell ref="A2:T2"/>
    <mergeCell ref="G4:I4"/>
    <mergeCell ref="L4:M4"/>
    <mergeCell ref="N4:Q4"/>
    <mergeCell ref="M5:T5"/>
    <mergeCell ref="A6:T6"/>
    <mergeCell ref="G7:I7"/>
    <mergeCell ref="L7:M7"/>
    <mergeCell ref="N7:Q7"/>
    <mergeCell ref="D8:F8"/>
    <mergeCell ref="L8:M8"/>
    <mergeCell ref="N8:T8"/>
    <mergeCell ref="A9:A10"/>
    <mergeCell ref="B9:C10"/>
    <mergeCell ref="D9:D10"/>
    <mergeCell ref="F9:H9"/>
    <mergeCell ref="I9:I10"/>
    <mergeCell ref="J9:N9"/>
    <mergeCell ref="O9:T9"/>
    <mergeCell ref="B23:C23"/>
    <mergeCell ref="B11:C11"/>
    <mergeCell ref="A12:T12"/>
    <mergeCell ref="B13:C13"/>
    <mergeCell ref="B14:C14"/>
    <mergeCell ref="B15:C15"/>
    <mergeCell ref="B16:C16"/>
    <mergeCell ref="A18:D18"/>
    <mergeCell ref="A19:T19"/>
    <mergeCell ref="B20:C20"/>
    <mergeCell ref="B21:C21"/>
    <mergeCell ref="B22:C22"/>
    <mergeCell ref="A38:D38"/>
    <mergeCell ref="B24:C24"/>
    <mergeCell ref="B25:C25"/>
    <mergeCell ref="B26:C26"/>
    <mergeCell ref="B27:C27"/>
    <mergeCell ref="A29:D29"/>
    <mergeCell ref="A31:T31"/>
    <mergeCell ref="B32:C32"/>
    <mergeCell ref="B33:C33"/>
    <mergeCell ref="A35:D35"/>
    <mergeCell ref="A36:D36"/>
    <mergeCell ref="A37:D37"/>
  </mergeCells>
  <pageMargins left="0.7" right="0.7" top="0.75" bottom="0.75" header="0.3" footer="0.3"/>
  <pageSetup paperSize="9" scale="79" orientation="landscape" r:id="rId1"/>
  <rowBreaks count="1" manualBreakCount="1">
    <brk id="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X42"/>
  <sheetViews>
    <sheetView view="pageBreakPreview" topLeftCell="A8" zoomScale="80" zoomScaleNormal="80" zoomScaleSheetLayoutView="80" workbookViewId="0">
      <selection activeCell="G51" sqref="G51"/>
    </sheetView>
  </sheetViews>
  <sheetFormatPr defaultRowHeight="11.25" x14ac:dyDescent="0.2"/>
  <cols>
    <col min="1" max="1" width="9.5" style="53" customWidth="1"/>
    <col min="2" max="2" width="16.33203125" style="53" customWidth="1"/>
    <col min="3" max="3" width="25.1640625" style="53" customWidth="1"/>
    <col min="4" max="4" width="8" style="4" customWidth="1"/>
    <col min="5" max="5" width="9.6640625" style="4" customWidth="1"/>
    <col min="6" max="6" width="9.83203125" style="94" customWidth="1"/>
    <col min="7" max="7" width="9.6640625" style="4" customWidth="1"/>
    <col min="8" max="8" width="8.5" style="4" customWidth="1"/>
    <col min="9" max="9" width="10" style="4" customWidth="1"/>
    <col min="10" max="10" width="9" style="4" customWidth="1"/>
    <col min="11" max="11" width="9.83203125" style="4" customWidth="1"/>
    <col min="12" max="12" width="8.83203125" style="4" customWidth="1"/>
    <col min="13" max="13" width="10.33203125" style="4" customWidth="1"/>
    <col min="14" max="14" width="9.5" style="4" customWidth="1"/>
    <col min="15" max="15" width="9.33203125" style="4" customWidth="1"/>
    <col min="16" max="17" width="9.1640625" style="4" customWidth="1"/>
    <col min="18" max="18" width="9" style="4" customWidth="1"/>
    <col min="19" max="19" width="9.5" style="4" customWidth="1"/>
    <col min="20" max="20" width="8.6640625" style="4" customWidth="1"/>
    <col min="21" max="21" width="9.1640625" style="17" customWidth="1"/>
    <col min="22" max="23" width="9.1640625" style="26" customWidth="1"/>
    <col min="24" max="24" width="11.6640625" style="26" customWidth="1"/>
  </cols>
  <sheetData>
    <row r="1" spans="1:24" s="1" customFormat="1" ht="11.25" customHeight="1" x14ac:dyDescent="0.2">
      <c r="A1" s="54"/>
      <c r="B1" s="51"/>
      <c r="C1" s="51"/>
      <c r="D1" s="118"/>
      <c r="E1" s="118"/>
      <c r="F1" s="119"/>
      <c r="G1" s="118"/>
      <c r="H1" s="118"/>
      <c r="I1" s="118"/>
      <c r="J1" s="118"/>
      <c r="K1" s="118"/>
      <c r="L1" s="2"/>
      <c r="M1" s="206" t="s">
        <v>65</v>
      </c>
      <c r="N1" s="206"/>
      <c r="O1" s="206"/>
      <c r="P1" s="206"/>
      <c r="Q1" s="206"/>
      <c r="R1" s="206"/>
      <c r="S1" s="206"/>
      <c r="T1" s="206"/>
      <c r="U1" s="213"/>
      <c r="V1" s="202"/>
      <c r="W1" s="194"/>
      <c r="X1" s="202"/>
    </row>
    <row r="2" spans="1:24" s="1" customFormat="1" ht="15.75" customHeight="1" x14ac:dyDescent="0.25">
      <c r="A2" s="207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14"/>
      <c r="V2" s="202"/>
      <c r="W2" s="194"/>
      <c r="X2" s="202"/>
    </row>
    <row r="3" spans="1:24" s="1" customFormat="1" ht="15.75" customHeight="1" x14ac:dyDescent="0.25">
      <c r="A3" s="195"/>
      <c r="B3" s="195"/>
      <c r="C3" s="195"/>
      <c r="D3" s="195"/>
      <c r="E3" s="195"/>
      <c r="F3" s="195"/>
      <c r="G3" s="195"/>
      <c r="H3" s="195" t="s">
        <v>119</v>
      </c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214"/>
      <c r="V3" s="202"/>
      <c r="W3" s="194"/>
      <c r="X3" s="202"/>
    </row>
    <row r="4" spans="1:24" s="1" customFormat="1" ht="11.25" customHeight="1" x14ac:dyDescent="0.2">
      <c r="A4" s="55" t="s">
        <v>55</v>
      </c>
      <c r="B4" s="51"/>
      <c r="C4" s="51"/>
      <c r="D4" s="2"/>
      <c r="E4" s="2"/>
      <c r="F4" s="119"/>
      <c r="G4" s="208" t="s">
        <v>1</v>
      </c>
      <c r="H4" s="208"/>
      <c r="I4" s="208"/>
      <c r="J4" s="118"/>
      <c r="K4" s="118"/>
      <c r="L4" s="201" t="s">
        <v>2</v>
      </c>
      <c r="M4" s="201"/>
      <c r="N4" s="240"/>
      <c r="O4" s="240"/>
      <c r="P4" s="240"/>
      <c r="Q4" s="240"/>
      <c r="R4" s="118"/>
      <c r="S4" s="118"/>
      <c r="T4" s="118"/>
      <c r="U4" s="214"/>
      <c r="V4" s="202"/>
      <c r="W4" s="194"/>
      <c r="X4" s="202"/>
    </row>
    <row r="5" spans="1:24" s="1" customFormat="1" ht="11.25" customHeight="1" x14ac:dyDescent="0.2">
      <c r="A5" s="51"/>
      <c r="B5" s="51"/>
      <c r="C5" s="51"/>
      <c r="D5" s="201" t="s">
        <v>3</v>
      </c>
      <c r="E5" s="201"/>
      <c r="F5" s="201"/>
      <c r="G5" s="6">
        <v>1</v>
      </c>
      <c r="H5" s="118"/>
      <c r="I5" s="2"/>
      <c r="J5" s="2"/>
      <c r="K5" s="2"/>
      <c r="L5" s="201" t="s">
        <v>4</v>
      </c>
      <c r="M5" s="201"/>
      <c r="N5" s="208" t="s">
        <v>118</v>
      </c>
      <c r="O5" s="208"/>
      <c r="P5" s="208"/>
      <c r="Q5" s="208"/>
      <c r="R5" s="208"/>
      <c r="S5" s="208"/>
      <c r="T5" s="208"/>
      <c r="U5" s="215"/>
      <c r="V5" s="216"/>
      <c r="W5" s="194"/>
      <c r="X5" s="202"/>
    </row>
    <row r="6" spans="1:24" s="1" customFormat="1" ht="11.25" customHeight="1" x14ac:dyDescent="0.2">
      <c r="A6" s="51"/>
      <c r="B6" s="51"/>
      <c r="C6" s="185"/>
      <c r="D6" s="185"/>
      <c r="E6" s="185"/>
      <c r="F6" s="91"/>
      <c r="G6" s="118"/>
      <c r="H6" s="2"/>
      <c r="I6" s="2"/>
      <c r="J6" s="118"/>
      <c r="K6" s="118"/>
      <c r="L6" s="118"/>
      <c r="M6" s="206" t="s">
        <v>65</v>
      </c>
      <c r="N6" s="206"/>
      <c r="O6" s="206"/>
      <c r="P6" s="206"/>
      <c r="Q6" s="206"/>
      <c r="R6" s="206"/>
      <c r="S6" s="206"/>
      <c r="T6" s="206"/>
      <c r="U6" s="11"/>
      <c r="V6" s="18"/>
      <c r="W6" s="18"/>
      <c r="X6" s="18"/>
    </row>
    <row r="7" spans="1:24" s="1" customFormat="1" ht="11.25" customHeight="1" x14ac:dyDescent="0.2">
      <c r="A7" s="51"/>
      <c r="B7" s="51"/>
      <c r="C7" s="185"/>
      <c r="D7" s="185"/>
      <c r="E7" s="185"/>
      <c r="F7" s="91"/>
      <c r="G7" s="118"/>
      <c r="H7" s="2"/>
      <c r="I7" s="2"/>
      <c r="J7" s="118"/>
      <c r="K7" s="118"/>
      <c r="L7" s="118"/>
      <c r="M7" s="184"/>
      <c r="N7" s="184"/>
      <c r="O7" s="184"/>
      <c r="P7" s="184"/>
      <c r="Q7" s="184"/>
      <c r="R7" s="184"/>
      <c r="S7" s="184"/>
      <c r="T7" s="184"/>
      <c r="U7" s="11"/>
      <c r="V7" s="18"/>
      <c r="W7" s="18"/>
      <c r="X7" s="18"/>
    </row>
    <row r="8" spans="1:24" s="1" customFormat="1" ht="11.25" customHeight="1" x14ac:dyDescent="0.2">
      <c r="A8" s="249" t="s">
        <v>34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12"/>
      <c r="V8" s="24"/>
      <c r="W8" s="24"/>
      <c r="X8" s="24"/>
    </row>
    <row r="9" spans="1:24" s="1" customFormat="1" ht="11.25" customHeight="1" x14ac:dyDescent="0.2">
      <c r="A9" s="55" t="s">
        <v>56</v>
      </c>
      <c r="B9" s="51"/>
      <c r="C9" s="51"/>
      <c r="D9" s="2"/>
      <c r="E9" s="2"/>
      <c r="F9" s="119"/>
      <c r="G9" s="208" t="s">
        <v>35</v>
      </c>
      <c r="H9" s="208"/>
      <c r="I9" s="208"/>
      <c r="J9" s="118"/>
      <c r="K9" s="118"/>
      <c r="L9" s="201" t="s">
        <v>2</v>
      </c>
      <c r="M9" s="201"/>
      <c r="N9" s="240"/>
      <c r="O9" s="240"/>
      <c r="P9" s="240"/>
      <c r="Q9" s="240"/>
      <c r="R9" s="118"/>
      <c r="S9" s="118"/>
      <c r="T9" s="118"/>
      <c r="U9" s="13"/>
      <c r="V9" s="19"/>
      <c r="W9" s="19"/>
      <c r="X9" s="19"/>
    </row>
    <row r="10" spans="1:24" s="1" customFormat="1" ht="11.25" customHeight="1" x14ac:dyDescent="0.2">
      <c r="A10" s="51"/>
      <c r="B10" s="51"/>
      <c r="C10" s="51"/>
      <c r="D10" s="253" t="s">
        <v>3</v>
      </c>
      <c r="E10" s="253"/>
      <c r="F10" s="253"/>
      <c r="G10" s="6">
        <v>1</v>
      </c>
      <c r="H10" s="118"/>
      <c r="I10" s="2"/>
      <c r="J10" s="2"/>
      <c r="K10" s="2"/>
      <c r="L10" s="253" t="s">
        <v>4</v>
      </c>
      <c r="M10" s="253"/>
      <c r="N10" s="208" t="s">
        <v>118</v>
      </c>
      <c r="O10" s="208"/>
      <c r="P10" s="208"/>
      <c r="Q10" s="208"/>
      <c r="R10" s="208"/>
      <c r="S10" s="208"/>
      <c r="T10" s="208"/>
      <c r="U10" s="14"/>
      <c r="V10" s="20"/>
      <c r="W10" s="20"/>
      <c r="X10" s="20"/>
    </row>
    <row r="11" spans="1:24" s="1" customFormat="1" ht="21.75" customHeight="1" x14ac:dyDescent="0.2">
      <c r="A11" s="217" t="s">
        <v>5</v>
      </c>
      <c r="B11" s="217" t="s">
        <v>6</v>
      </c>
      <c r="C11" s="217"/>
      <c r="D11" s="217" t="s">
        <v>7</v>
      </c>
      <c r="E11" s="189"/>
      <c r="F11" s="251" t="s">
        <v>8</v>
      </c>
      <c r="G11" s="251"/>
      <c r="H11" s="251"/>
      <c r="I11" s="217" t="s">
        <v>9</v>
      </c>
      <c r="J11" s="251" t="s">
        <v>10</v>
      </c>
      <c r="K11" s="251"/>
      <c r="L11" s="251"/>
      <c r="M11" s="251"/>
      <c r="N11" s="251"/>
      <c r="O11" s="251" t="s">
        <v>11</v>
      </c>
      <c r="P11" s="251"/>
      <c r="Q11" s="251"/>
      <c r="R11" s="251"/>
      <c r="S11" s="251"/>
      <c r="T11" s="251"/>
      <c r="U11" s="8"/>
      <c r="V11" s="21"/>
      <c r="W11" s="21"/>
      <c r="X11" s="21"/>
    </row>
    <row r="12" spans="1:24" s="1" customFormat="1" ht="21" customHeight="1" x14ac:dyDescent="0.2">
      <c r="A12" s="218"/>
      <c r="B12" s="211"/>
      <c r="C12" s="212"/>
      <c r="D12" s="218"/>
      <c r="E12" s="190">
        <v>3</v>
      </c>
      <c r="F12" s="89" t="s">
        <v>12</v>
      </c>
      <c r="G12" s="197" t="s">
        <v>13</v>
      </c>
      <c r="H12" s="197" t="s">
        <v>14</v>
      </c>
      <c r="I12" s="218"/>
      <c r="J12" s="197" t="s">
        <v>15</v>
      </c>
      <c r="K12" s="197" t="s">
        <v>57</v>
      </c>
      <c r="L12" s="197" t="s">
        <v>16</v>
      </c>
      <c r="M12" s="197" t="s">
        <v>17</v>
      </c>
      <c r="N12" s="197" t="s">
        <v>18</v>
      </c>
      <c r="O12" s="197" t="s">
        <v>19</v>
      </c>
      <c r="P12" s="197" t="s">
        <v>20</v>
      </c>
      <c r="Q12" s="197" t="s">
        <v>58</v>
      </c>
      <c r="R12" s="197" t="s">
        <v>59</v>
      </c>
      <c r="S12" s="197" t="s">
        <v>21</v>
      </c>
      <c r="T12" s="197" t="s">
        <v>22</v>
      </c>
      <c r="U12" s="8"/>
      <c r="V12" s="21"/>
      <c r="W12" s="21"/>
      <c r="X12" s="21"/>
    </row>
    <row r="13" spans="1:24" s="1" customFormat="1" ht="11.25" customHeight="1" x14ac:dyDescent="0.2">
      <c r="A13" s="198">
        <v>1</v>
      </c>
      <c r="B13" s="252">
        <v>2</v>
      </c>
      <c r="C13" s="252"/>
      <c r="D13" s="36">
        <v>3</v>
      </c>
      <c r="E13" s="36"/>
      <c r="F13" s="90">
        <v>4</v>
      </c>
      <c r="G13" s="36">
        <v>5</v>
      </c>
      <c r="H13" s="36">
        <v>6</v>
      </c>
      <c r="I13" s="36">
        <v>7</v>
      </c>
      <c r="J13" s="36">
        <v>8</v>
      </c>
      <c r="K13" s="36">
        <v>9</v>
      </c>
      <c r="L13" s="36">
        <v>10</v>
      </c>
      <c r="M13" s="36">
        <v>11</v>
      </c>
      <c r="N13" s="36">
        <v>12</v>
      </c>
      <c r="O13" s="36">
        <v>13</v>
      </c>
      <c r="P13" s="36">
        <v>14</v>
      </c>
      <c r="Q13" s="36">
        <v>15</v>
      </c>
      <c r="R13" s="36">
        <v>16</v>
      </c>
      <c r="S13" s="36">
        <v>17</v>
      </c>
      <c r="T13" s="36">
        <v>18</v>
      </c>
      <c r="U13" s="9"/>
      <c r="V13" s="22"/>
      <c r="W13" s="22"/>
      <c r="X13" s="22"/>
    </row>
    <row r="14" spans="1:24" s="1" customFormat="1" ht="11.25" customHeight="1" x14ac:dyDescent="0.2">
      <c r="A14" s="227" t="s">
        <v>23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9"/>
      <c r="U14" s="10"/>
      <c r="V14" s="23"/>
      <c r="W14" s="23"/>
      <c r="X14" s="23"/>
    </row>
    <row r="15" spans="1:24" s="118" customFormat="1" ht="20.25" customHeight="1" x14ac:dyDescent="0.2">
      <c r="A15" s="64">
        <v>71</v>
      </c>
      <c r="B15" s="231" t="s">
        <v>64</v>
      </c>
      <c r="C15" s="232"/>
      <c r="D15" s="68">
        <v>40</v>
      </c>
      <c r="E15" s="68">
        <v>9.2200000000000006</v>
      </c>
      <c r="F15" s="199">
        <f>0.5*D15/60</f>
        <v>0.33333333333333331</v>
      </c>
      <c r="G15" s="199">
        <f>0.03*D15/30</f>
        <v>0.04</v>
      </c>
      <c r="H15" s="199">
        <f>1.7*D15/60</f>
        <v>1.1333333333333333</v>
      </c>
      <c r="I15" s="199">
        <f>F15*4+G15*9+H15*4</f>
        <v>6.2266666666666666</v>
      </c>
      <c r="J15" s="69">
        <v>8.9999999999999993E-3</v>
      </c>
      <c r="K15" s="199">
        <v>0.01</v>
      </c>
      <c r="L15" s="70">
        <v>3</v>
      </c>
      <c r="M15" s="69">
        <v>3.0000000000000001E-3</v>
      </c>
      <c r="N15" s="68">
        <v>0.03</v>
      </c>
      <c r="O15" s="199">
        <v>6.9</v>
      </c>
      <c r="P15" s="199">
        <v>12.6</v>
      </c>
      <c r="Q15" s="69">
        <v>6.4000000000000001E-2</v>
      </c>
      <c r="R15" s="69">
        <v>1E-3</v>
      </c>
      <c r="S15" s="199">
        <v>4.2</v>
      </c>
      <c r="T15" s="199">
        <v>0.18</v>
      </c>
      <c r="U15" s="31"/>
      <c r="V15" s="32"/>
      <c r="W15" s="32"/>
      <c r="X15" s="32"/>
    </row>
    <row r="16" spans="1:24" s="118" customFormat="1" ht="11.25" customHeight="1" x14ac:dyDescent="0.2">
      <c r="A16" s="198">
        <v>291</v>
      </c>
      <c r="B16" s="231" t="s">
        <v>50</v>
      </c>
      <c r="C16" s="232"/>
      <c r="D16" s="125">
        <v>240</v>
      </c>
      <c r="E16" s="126">
        <v>45.63</v>
      </c>
      <c r="F16" s="126">
        <v>22.35</v>
      </c>
      <c r="G16" s="126">
        <v>26.13</v>
      </c>
      <c r="H16" s="126">
        <v>47.231999999999999</v>
      </c>
      <c r="I16" s="126">
        <v>513.57000000000005</v>
      </c>
      <c r="J16" s="126">
        <v>0.81</v>
      </c>
      <c r="K16" s="126">
        <v>0.79</v>
      </c>
      <c r="L16" s="126">
        <v>4.29</v>
      </c>
      <c r="M16" s="126">
        <v>0.46</v>
      </c>
      <c r="N16" s="123">
        <v>0</v>
      </c>
      <c r="O16" s="126">
        <v>44.29</v>
      </c>
      <c r="P16" s="126">
        <v>301.64999999999998</v>
      </c>
      <c r="Q16" s="125">
        <v>0</v>
      </c>
      <c r="R16" s="125">
        <v>0</v>
      </c>
      <c r="S16" s="126">
        <v>64.39</v>
      </c>
      <c r="T16" s="126">
        <v>2.77</v>
      </c>
      <c r="U16" s="128"/>
      <c r="V16" s="129"/>
      <c r="W16" s="129"/>
      <c r="X16" s="129"/>
    </row>
    <row r="17" spans="1:24" s="118" customFormat="1" ht="12.75" customHeight="1" x14ac:dyDescent="0.2">
      <c r="A17" s="198">
        <v>379</v>
      </c>
      <c r="B17" s="231" t="s">
        <v>52</v>
      </c>
      <c r="C17" s="232"/>
      <c r="D17" s="125">
        <v>200</v>
      </c>
      <c r="E17" s="126">
        <v>12.05</v>
      </c>
      <c r="F17" s="126">
        <v>3.17</v>
      </c>
      <c r="G17" s="126">
        <v>2.68</v>
      </c>
      <c r="H17" s="126">
        <v>15.95</v>
      </c>
      <c r="I17" s="126">
        <f>F17*4+G17*9+H17*4</f>
        <v>100.6</v>
      </c>
      <c r="J17" s="126">
        <v>0.04</v>
      </c>
      <c r="K17" s="126">
        <v>0.15</v>
      </c>
      <c r="L17" s="126">
        <v>1.3</v>
      </c>
      <c r="M17" s="127">
        <v>0.03</v>
      </c>
      <c r="N17" s="123">
        <v>0.06</v>
      </c>
      <c r="O17" s="126">
        <v>120.4</v>
      </c>
      <c r="P17" s="124">
        <v>90</v>
      </c>
      <c r="Q17" s="126">
        <v>1.1000000000000001</v>
      </c>
      <c r="R17" s="127">
        <v>0.01</v>
      </c>
      <c r="S17" s="126">
        <v>14</v>
      </c>
      <c r="T17" s="126">
        <v>0.12</v>
      </c>
      <c r="U17" s="128"/>
      <c r="V17" s="129"/>
      <c r="W17" s="129"/>
      <c r="X17" s="129"/>
    </row>
    <row r="18" spans="1:24" s="118" customFormat="1" ht="11.25" customHeight="1" x14ac:dyDescent="0.2">
      <c r="A18" s="131" t="s">
        <v>66</v>
      </c>
      <c r="B18" s="231" t="s">
        <v>53</v>
      </c>
      <c r="C18" s="232"/>
      <c r="D18" s="125">
        <v>40</v>
      </c>
      <c r="E18" s="126">
        <v>3.1</v>
      </c>
      <c r="F18" s="126">
        <f>1.52*D18/30</f>
        <v>2.0266666666666664</v>
      </c>
      <c r="G18" s="127">
        <f>0.16*D18/30</f>
        <v>0.21333333333333335</v>
      </c>
      <c r="H18" s="127">
        <f>9.84*D18/30</f>
        <v>13.120000000000001</v>
      </c>
      <c r="I18" s="127">
        <f>F18*4+G18*9+H18*4</f>
        <v>62.506666666666668</v>
      </c>
      <c r="J18" s="127">
        <f>0.02*D18/30</f>
        <v>2.6666666666666668E-2</v>
      </c>
      <c r="K18" s="127">
        <f>0.01*D18/30</f>
        <v>1.3333333333333334E-2</v>
      </c>
      <c r="L18" s="127">
        <f>0.44*D18/30</f>
        <v>0.58666666666666667</v>
      </c>
      <c r="M18" s="127">
        <v>0</v>
      </c>
      <c r="N18" s="127">
        <f>0.7*D18/30</f>
        <v>0.93333333333333335</v>
      </c>
      <c r="O18" s="127">
        <f>4*D18/30</f>
        <v>5.333333333333333</v>
      </c>
      <c r="P18" s="127">
        <f>13*D18/30</f>
        <v>17.333333333333332</v>
      </c>
      <c r="Q18" s="127">
        <f>0.008*D18/30</f>
        <v>1.0666666666666666E-2</v>
      </c>
      <c r="R18" s="127">
        <f>0.001*D18/30</f>
        <v>1.3333333333333333E-3</v>
      </c>
      <c r="S18" s="127">
        <v>0</v>
      </c>
      <c r="T18" s="127">
        <f>0.22*D18/30</f>
        <v>0.29333333333333333</v>
      </c>
      <c r="U18" s="128"/>
      <c r="V18" s="129"/>
      <c r="W18" s="129"/>
      <c r="X18" s="129"/>
    </row>
    <row r="19" spans="1:24" s="118" customFormat="1" ht="12" customHeight="1" x14ac:dyDescent="0.2">
      <c r="A19" s="58" t="s">
        <v>25</v>
      </c>
      <c r="B19" s="59"/>
      <c r="C19" s="59"/>
      <c r="D19" s="57">
        <f t="shared" ref="D19:T19" si="0">SUM(D15:D18)</f>
        <v>520</v>
      </c>
      <c r="E19" s="132">
        <f t="shared" si="0"/>
        <v>70</v>
      </c>
      <c r="F19" s="38">
        <f t="shared" si="0"/>
        <v>27.88</v>
      </c>
      <c r="G19" s="37">
        <f t="shared" si="0"/>
        <v>29.063333333333333</v>
      </c>
      <c r="H19" s="37">
        <f t="shared" si="0"/>
        <v>77.435333333333332</v>
      </c>
      <c r="I19" s="37">
        <f t="shared" si="0"/>
        <v>682.90333333333342</v>
      </c>
      <c r="J19" s="38">
        <f t="shared" si="0"/>
        <v>0.88566666666666671</v>
      </c>
      <c r="K19" s="38">
        <f t="shared" si="0"/>
        <v>0.96333333333333337</v>
      </c>
      <c r="L19" s="38">
        <f t="shared" si="0"/>
        <v>9.1766666666666659</v>
      </c>
      <c r="M19" s="38">
        <f t="shared" si="0"/>
        <v>0.49299999999999999</v>
      </c>
      <c r="N19" s="38">
        <f t="shared" si="0"/>
        <v>1.0233333333333334</v>
      </c>
      <c r="O19" s="38">
        <f t="shared" si="0"/>
        <v>176.92333333333335</v>
      </c>
      <c r="P19" s="38">
        <f t="shared" si="0"/>
        <v>421.58333333333331</v>
      </c>
      <c r="Q19" s="39">
        <f t="shared" si="0"/>
        <v>1.1746666666666667</v>
      </c>
      <c r="R19" s="39">
        <f t="shared" si="0"/>
        <v>1.2333333333333333E-2</v>
      </c>
      <c r="S19" s="37">
        <f t="shared" si="0"/>
        <v>82.59</v>
      </c>
      <c r="T19" s="38">
        <f t="shared" si="0"/>
        <v>3.3633333333333337</v>
      </c>
      <c r="U19" s="37"/>
      <c r="V19" s="121"/>
      <c r="W19" s="121"/>
      <c r="X19" s="121"/>
    </row>
    <row r="20" spans="1:24" s="118" customFormat="1" ht="12" customHeight="1" x14ac:dyDescent="0.2">
      <c r="A20" s="235" t="s">
        <v>62</v>
      </c>
      <c r="B20" s="236"/>
      <c r="C20" s="236"/>
      <c r="D20" s="237"/>
      <c r="E20" s="105"/>
      <c r="F20" s="134">
        <f t="shared" ref="F20:T20" si="1">F19/F40</f>
        <v>0.30977777777777776</v>
      </c>
      <c r="G20" s="103">
        <f t="shared" si="1"/>
        <v>0.31590579710144928</v>
      </c>
      <c r="H20" s="103">
        <f t="shared" si="1"/>
        <v>0.20218102697998258</v>
      </c>
      <c r="I20" s="103">
        <f t="shared" si="1"/>
        <v>0.25106740196078436</v>
      </c>
      <c r="J20" s="103">
        <f t="shared" si="1"/>
        <v>0.63261904761904775</v>
      </c>
      <c r="K20" s="103">
        <f t="shared" si="1"/>
        <v>0.6020833333333333</v>
      </c>
      <c r="L20" s="103">
        <f t="shared" si="1"/>
        <v>0.13109523809523807</v>
      </c>
      <c r="M20" s="103">
        <f t="shared" si="1"/>
        <v>0.54777777777777781</v>
      </c>
      <c r="N20" s="103">
        <f t="shared" si="1"/>
        <v>8.5277777777777786E-2</v>
      </c>
      <c r="O20" s="103">
        <f t="shared" si="1"/>
        <v>0.14743611111111113</v>
      </c>
      <c r="P20" s="103">
        <f t="shared" si="1"/>
        <v>0.35131944444444441</v>
      </c>
      <c r="Q20" s="103">
        <f t="shared" si="1"/>
        <v>8.3904761904761913E-2</v>
      </c>
      <c r="R20" s="103">
        <f t="shared" si="1"/>
        <v>0.12333333333333332</v>
      </c>
      <c r="S20" s="103">
        <f t="shared" si="1"/>
        <v>0.27529999999999999</v>
      </c>
      <c r="T20" s="103">
        <f t="shared" si="1"/>
        <v>0.18685185185185188</v>
      </c>
      <c r="U20" s="122"/>
      <c r="V20" s="121"/>
      <c r="W20" s="121"/>
      <c r="X20" s="121"/>
    </row>
    <row r="21" spans="1:24" s="118" customFormat="1" ht="12" hidden="1" customHeight="1" x14ac:dyDescent="0.2">
      <c r="A21" s="72" t="s">
        <v>73</v>
      </c>
      <c r="B21" s="73"/>
      <c r="C21" s="73"/>
      <c r="D21" s="192"/>
      <c r="E21" s="139">
        <f>70-E19</f>
        <v>0</v>
      </c>
      <c r="F21" s="102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22"/>
      <c r="V21" s="121"/>
      <c r="W21" s="121"/>
      <c r="X21" s="121"/>
    </row>
    <row r="22" spans="1:24" s="118" customFormat="1" ht="10.5" customHeight="1" x14ac:dyDescent="0.2">
      <c r="A22" s="227" t="s">
        <v>28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10"/>
      <c r="V22" s="23"/>
      <c r="W22" s="23"/>
      <c r="X22" s="23"/>
    </row>
    <row r="23" spans="1:24" s="118" customFormat="1" ht="18.75" customHeight="1" x14ac:dyDescent="0.2">
      <c r="A23" s="198">
        <v>45</v>
      </c>
      <c r="B23" s="219" t="s">
        <v>84</v>
      </c>
      <c r="C23" s="219"/>
      <c r="D23" s="125">
        <v>100</v>
      </c>
      <c r="E23" s="126">
        <v>8.44</v>
      </c>
      <c r="F23" s="126">
        <f>0.9*D23/60</f>
        <v>1.5</v>
      </c>
      <c r="G23" s="126">
        <f>1.31*D23/60</f>
        <v>2.1833333333333331</v>
      </c>
      <c r="H23" s="126">
        <f>5.6*D23/60</f>
        <v>9.3333333333333339</v>
      </c>
      <c r="I23" s="126">
        <f>F23*4+G23*9+H23*4</f>
        <v>62.983333333333334</v>
      </c>
      <c r="J23" s="126">
        <f>0.06*D23/60</f>
        <v>0.1</v>
      </c>
      <c r="K23" s="126">
        <f>0.07*D23/60</f>
        <v>0.11666666666666668</v>
      </c>
      <c r="L23" s="126">
        <f>15.5*D23/60</f>
        <v>25.833333333333332</v>
      </c>
      <c r="M23" s="127">
        <f>0.071*D23/60</f>
        <v>0.11833333333333333</v>
      </c>
      <c r="N23" s="126">
        <f>0.3*D23/60</f>
        <v>0.5</v>
      </c>
      <c r="O23" s="126">
        <f>28.2*D23/60</f>
        <v>47</v>
      </c>
      <c r="P23" s="126">
        <f>18.9*D23/60</f>
        <v>31.499999999999996</v>
      </c>
      <c r="Q23" s="126">
        <f>0.2*D23/60</f>
        <v>0.33333333333333331</v>
      </c>
      <c r="R23" s="127">
        <f>0.001*D23/60</f>
        <v>1.6666666666666668E-3</v>
      </c>
      <c r="S23" s="126">
        <f>10.5*D23/60</f>
        <v>17.5</v>
      </c>
      <c r="T23" s="126">
        <f>0.6*D23/60</f>
        <v>1</v>
      </c>
      <c r="U23" s="128"/>
      <c r="V23" s="129"/>
      <c r="W23" s="129"/>
      <c r="X23" s="129"/>
    </row>
    <row r="24" spans="1:24" s="118" customFormat="1" ht="22.5" customHeight="1" x14ac:dyDescent="0.2">
      <c r="A24" s="111">
        <v>103</v>
      </c>
      <c r="B24" s="230" t="s">
        <v>92</v>
      </c>
      <c r="C24" s="230"/>
      <c r="D24" s="112">
        <v>250</v>
      </c>
      <c r="E24" s="106">
        <v>9.68</v>
      </c>
      <c r="F24" s="106">
        <v>12.37</v>
      </c>
      <c r="G24" s="106">
        <v>11.12</v>
      </c>
      <c r="H24" s="106">
        <v>31.5</v>
      </c>
      <c r="I24" s="106">
        <v>275.62</v>
      </c>
      <c r="J24" s="106">
        <v>0.25</v>
      </c>
      <c r="K24" s="106">
        <v>6.3E-2</v>
      </c>
      <c r="L24" s="106">
        <v>8.25</v>
      </c>
      <c r="M24" s="106">
        <v>0</v>
      </c>
      <c r="N24" s="106">
        <v>0</v>
      </c>
      <c r="O24" s="106">
        <v>49.37</v>
      </c>
      <c r="P24" s="106">
        <v>93.37</v>
      </c>
      <c r="Q24" s="106">
        <v>0</v>
      </c>
      <c r="R24" s="106">
        <v>1E-3</v>
      </c>
      <c r="S24" s="106">
        <v>27.25</v>
      </c>
      <c r="T24" s="106">
        <v>0.37</v>
      </c>
      <c r="U24" s="128"/>
      <c r="V24" s="129"/>
      <c r="W24" s="129"/>
      <c r="X24" s="129"/>
    </row>
    <row r="25" spans="1:24" s="118" customFormat="1" ht="12" customHeight="1" x14ac:dyDescent="0.2">
      <c r="A25" s="131">
        <v>232</v>
      </c>
      <c r="B25" s="231" t="s">
        <v>116</v>
      </c>
      <c r="C25" s="232"/>
      <c r="D25" s="125">
        <v>100</v>
      </c>
      <c r="E25" s="126">
        <v>32.869999999999997</v>
      </c>
      <c r="F25" s="126">
        <f>20.2*D25/100</f>
        <v>20.2</v>
      </c>
      <c r="G25" s="126">
        <f>12.07*D25/100</f>
        <v>12.07</v>
      </c>
      <c r="H25" s="126">
        <f>2.08*D25/100</f>
        <v>2.08</v>
      </c>
      <c r="I25" s="126">
        <f>F25*4+G25*9+H25*4</f>
        <v>197.75</v>
      </c>
      <c r="J25" s="126">
        <f>0.2*D25/100</f>
        <v>0.2</v>
      </c>
      <c r="K25" s="126">
        <f>0.17*D25/100</f>
        <v>0.17</v>
      </c>
      <c r="L25" s="126">
        <f>2.63*D25/100</f>
        <v>2.63</v>
      </c>
      <c r="M25" s="127">
        <f>D25*0.025/80</f>
        <v>3.125E-2</v>
      </c>
      <c r="N25" s="126">
        <v>0.3</v>
      </c>
      <c r="O25" s="126">
        <f>D25*68.89/80</f>
        <v>86.112499999999997</v>
      </c>
      <c r="P25" s="126">
        <f>D25*33.41/80</f>
        <v>41.762499999999996</v>
      </c>
      <c r="Q25" s="124">
        <v>0.8</v>
      </c>
      <c r="R25" s="124">
        <v>0.04</v>
      </c>
      <c r="S25" s="126">
        <f>D25*23.17/80</f>
        <v>28.962499999999999</v>
      </c>
      <c r="T25" s="126">
        <f>D25*0.73/80</f>
        <v>0.91249999999999998</v>
      </c>
      <c r="U25" s="128"/>
      <c r="V25" s="129"/>
      <c r="W25" s="129"/>
      <c r="X25" s="129"/>
    </row>
    <row r="26" spans="1:24" s="118" customFormat="1" ht="12" customHeight="1" x14ac:dyDescent="0.2">
      <c r="A26" s="131">
        <v>312</v>
      </c>
      <c r="B26" s="231" t="s">
        <v>47</v>
      </c>
      <c r="C26" s="232"/>
      <c r="D26" s="125">
        <v>180</v>
      </c>
      <c r="E26" s="126">
        <v>19.11</v>
      </c>
      <c r="F26" s="126">
        <f>D26*3.29/150</f>
        <v>3.9480000000000004</v>
      </c>
      <c r="G26" s="126">
        <f>D26*7.06/150</f>
        <v>8.4719999999999995</v>
      </c>
      <c r="H26" s="126">
        <f>D26*22.21/150</f>
        <v>26.652000000000001</v>
      </c>
      <c r="I26" s="126">
        <f>F26*4+G26*9+H26*4</f>
        <v>198.648</v>
      </c>
      <c r="J26" s="126">
        <f>D26*0.16/150</f>
        <v>0.192</v>
      </c>
      <c r="K26" s="126">
        <f>D26*0.13/150</f>
        <v>0.15600000000000003</v>
      </c>
      <c r="L26" s="126">
        <f>D26*0.73/150</f>
        <v>0.876</v>
      </c>
      <c r="M26" s="127">
        <f>D26*0.08/150</f>
        <v>9.6000000000000002E-2</v>
      </c>
      <c r="N26" s="123">
        <f>1.5*D26/150</f>
        <v>1.8</v>
      </c>
      <c r="O26" s="126">
        <f>D26*42.54/150</f>
        <v>51.048000000000002</v>
      </c>
      <c r="P26" s="124">
        <f>D26*97.75/150</f>
        <v>117.3</v>
      </c>
      <c r="Q26" s="127">
        <f>0.299*D26/150</f>
        <v>0.35880000000000001</v>
      </c>
      <c r="R26" s="127">
        <f>0.001*D26/150</f>
        <v>1.1999999999999999E-3</v>
      </c>
      <c r="S26" s="126">
        <f>D26*33.06/150</f>
        <v>39.672000000000004</v>
      </c>
      <c r="T26" s="126">
        <f>D26*1.19/150</f>
        <v>1.4279999999999999</v>
      </c>
      <c r="U26" s="128"/>
      <c r="V26" s="129"/>
      <c r="W26" s="129"/>
      <c r="X26" s="129"/>
    </row>
    <row r="27" spans="1:24" s="118" customFormat="1" ht="12" customHeight="1" x14ac:dyDescent="0.2">
      <c r="A27" s="111">
        <v>699</v>
      </c>
      <c r="B27" s="230" t="s">
        <v>97</v>
      </c>
      <c r="C27" s="230"/>
      <c r="D27" s="115">
        <v>200</v>
      </c>
      <c r="E27" s="106">
        <v>4.75</v>
      </c>
      <c r="F27" s="106">
        <v>0.1</v>
      </c>
      <c r="G27" s="106">
        <v>0</v>
      </c>
      <c r="H27" s="106">
        <v>15.7</v>
      </c>
      <c r="I27" s="106">
        <v>63.2</v>
      </c>
      <c r="J27" s="106">
        <v>1.7999999999999999E-2</v>
      </c>
      <c r="K27" s="106">
        <v>1.2E-2</v>
      </c>
      <c r="L27" s="106">
        <v>8</v>
      </c>
      <c r="M27" s="106">
        <v>0</v>
      </c>
      <c r="N27" s="106">
        <v>0.2</v>
      </c>
      <c r="O27" s="106">
        <v>10.8</v>
      </c>
      <c r="P27" s="106">
        <v>1.7</v>
      </c>
      <c r="Q27" s="106">
        <v>0</v>
      </c>
      <c r="R27" s="106">
        <v>0</v>
      </c>
      <c r="S27" s="106">
        <v>5.8</v>
      </c>
      <c r="T27" s="106">
        <v>1.6</v>
      </c>
      <c r="U27" s="128"/>
      <c r="V27" s="129"/>
      <c r="W27" s="129"/>
      <c r="X27" s="129"/>
    </row>
    <row r="28" spans="1:24" s="118" customFormat="1" ht="11.25" customHeight="1" x14ac:dyDescent="0.2">
      <c r="A28" s="67" t="s">
        <v>66</v>
      </c>
      <c r="B28" s="231" t="s">
        <v>46</v>
      </c>
      <c r="C28" s="232"/>
      <c r="D28" s="125">
        <v>40</v>
      </c>
      <c r="E28" s="126">
        <v>2.04</v>
      </c>
      <c r="F28" s="126">
        <f>2.64*D28/40</f>
        <v>2.64</v>
      </c>
      <c r="G28" s="126">
        <f>0.48*D28/40</f>
        <v>0.48</v>
      </c>
      <c r="H28" s="126">
        <f>13.68*D28/40</f>
        <v>13.680000000000001</v>
      </c>
      <c r="I28" s="124">
        <f>F28*4+G28*9+H28*4</f>
        <v>69.600000000000009</v>
      </c>
      <c r="J28" s="123">
        <f>0.08*D28/40</f>
        <v>0.08</v>
      </c>
      <c r="K28" s="126">
        <f>0.04*D28/40</f>
        <v>0.04</v>
      </c>
      <c r="L28" s="125">
        <v>0</v>
      </c>
      <c r="M28" s="125">
        <v>0</v>
      </c>
      <c r="N28" s="126">
        <f>2.4*D28/40</f>
        <v>2.4</v>
      </c>
      <c r="O28" s="126">
        <f>14*D28/40</f>
        <v>14</v>
      </c>
      <c r="P28" s="126">
        <f>63.2*D28/40</f>
        <v>63.2</v>
      </c>
      <c r="Q28" s="126">
        <f>1.2*D28/40</f>
        <v>1.2</v>
      </c>
      <c r="R28" s="127">
        <f>0.001*D28/40</f>
        <v>1E-3</v>
      </c>
      <c r="S28" s="126">
        <f>9.4*D28/40</f>
        <v>9.4</v>
      </c>
      <c r="T28" s="123">
        <f>0.78*D28/40</f>
        <v>0.78</v>
      </c>
      <c r="U28" s="29"/>
      <c r="V28" s="30"/>
      <c r="W28" s="30"/>
      <c r="X28" s="30"/>
    </row>
    <row r="29" spans="1:24" s="118" customFormat="1" ht="11.25" customHeight="1" x14ac:dyDescent="0.2">
      <c r="A29" s="131" t="s">
        <v>66</v>
      </c>
      <c r="B29" s="231" t="s">
        <v>53</v>
      </c>
      <c r="C29" s="232"/>
      <c r="D29" s="125">
        <v>40</v>
      </c>
      <c r="E29" s="126">
        <v>3.1</v>
      </c>
      <c r="F29" s="126">
        <f>1.52*D29/30</f>
        <v>2.0266666666666664</v>
      </c>
      <c r="G29" s="127">
        <f>0.16*D29/30</f>
        <v>0.21333333333333335</v>
      </c>
      <c r="H29" s="127">
        <f>9.84*D29/30</f>
        <v>13.120000000000001</v>
      </c>
      <c r="I29" s="127">
        <f>F29*4+G29*9+H29*4</f>
        <v>62.506666666666668</v>
      </c>
      <c r="J29" s="127">
        <f>0.02*D29/30</f>
        <v>2.6666666666666668E-2</v>
      </c>
      <c r="K29" s="127">
        <f>0.01*D29/30</f>
        <v>1.3333333333333334E-2</v>
      </c>
      <c r="L29" s="127">
        <f>0.44*D29/30</f>
        <v>0.58666666666666667</v>
      </c>
      <c r="M29" s="127">
        <v>0</v>
      </c>
      <c r="N29" s="127">
        <f>0.7*D29/30</f>
        <v>0.93333333333333335</v>
      </c>
      <c r="O29" s="127">
        <f>4*D29/30</f>
        <v>5.333333333333333</v>
      </c>
      <c r="P29" s="127">
        <f>13*D29/30</f>
        <v>17.333333333333332</v>
      </c>
      <c r="Q29" s="127">
        <f>0.008*D29/30</f>
        <v>1.0666666666666666E-2</v>
      </c>
      <c r="R29" s="127">
        <f>0.001*D29/30</f>
        <v>1.3333333333333333E-3</v>
      </c>
      <c r="S29" s="127">
        <v>0</v>
      </c>
      <c r="T29" s="127">
        <f>0.22*D29/30</f>
        <v>0.29333333333333333</v>
      </c>
      <c r="U29" s="128"/>
      <c r="V29" s="129"/>
      <c r="W29" s="129"/>
      <c r="X29" s="129"/>
    </row>
    <row r="30" spans="1:24" x14ac:dyDescent="0.2">
      <c r="A30" s="156" t="s">
        <v>66</v>
      </c>
      <c r="B30" s="250" t="s">
        <v>107</v>
      </c>
      <c r="C30" s="242"/>
      <c r="D30" s="156">
        <v>40</v>
      </c>
      <c r="E30" s="157">
        <v>10.01</v>
      </c>
      <c r="F30" s="157">
        <v>0.65</v>
      </c>
      <c r="G30" s="158">
        <v>3.8</v>
      </c>
      <c r="H30" s="159">
        <v>17.600000000000001</v>
      </c>
      <c r="I30" s="157">
        <v>38</v>
      </c>
      <c r="J30" s="157">
        <v>2.5999999999999999E-2</v>
      </c>
      <c r="K30" s="157">
        <v>0.03</v>
      </c>
      <c r="L30" s="157">
        <v>0.13</v>
      </c>
      <c r="M30" s="157">
        <v>11.96</v>
      </c>
      <c r="N30" s="158">
        <v>0.39</v>
      </c>
      <c r="O30" s="157">
        <v>24.18</v>
      </c>
      <c r="P30" s="157">
        <v>49.4</v>
      </c>
      <c r="Q30" s="160">
        <v>0.2</v>
      </c>
      <c r="R30" s="157">
        <v>2E-3</v>
      </c>
      <c r="S30" s="157">
        <v>18.72</v>
      </c>
      <c r="T30" s="157">
        <v>0.182</v>
      </c>
      <c r="U30"/>
      <c r="V30"/>
      <c r="W30"/>
      <c r="X30"/>
    </row>
    <row r="31" spans="1:24" s="118" customFormat="1" ht="11.25" customHeight="1" x14ac:dyDescent="0.2">
      <c r="A31" s="58" t="s">
        <v>29</v>
      </c>
      <c r="B31" s="59"/>
      <c r="C31" s="59"/>
      <c r="D31" s="62">
        <f>SUM(D23:D30)</f>
        <v>950</v>
      </c>
      <c r="E31" s="132">
        <f>SUM(E23:E30)</f>
        <v>90</v>
      </c>
      <c r="F31" s="38">
        <f>SUM(F23:F29)</f>
        <v>42.784666666666666</v>
      </c>
      <c r="G31" s="37">
        <f>SUM(G23:G29)</f>
        <v>34.538666666666664</v>
      </c>
      <c r="H31" s="37">
        <f>SUM(H23:H29)</f>
        <v>112.06533333333336</v>
      </c>
      <c r="I31" s="37">
        <f>SUM(I23:I29)</f>
        <v>930.30800000000011</v>
      </c>
      <c r="J31" s="38">
        <f t="shared" ref="J31:T31" si="2">SUM(J23:J29)</f>
        <v>0.86666666666666659</v>
      </c>
      <c r="K31" s="38">
        <f t="shared" si="2"/>
        <v>0.57100000000000006</v>
      </c>
      <c r="L31" s="38">
        <f t="shared" si="2"/>
        <v>46.175999999999995</v>
      </c>
      <c r="M31" s="38">
        <f t="shared" si="2"/>
        <v>0.24558333333333335</v>
      </c>
      <c r="N31" s="38">
        <f t="shared" si="2"/>
        <v>6.1333333333333337</v>
      </c>
      <c r="O31" s="38">
        <f t="shared" si="2"/>
        <v>263.66383333333334</v>
      </c>
      <c r="P31" s="38">
        <f t="shared" si="2"/>
        <v>366.1658333333333</v>
      </c>
      <c r="Q31" s="38">
        <f t="shared" si="2"/>
        <v>2.7028000000000003</v>
      </c>
      <c r="R31" s="39">
        <f t="shared" si="2"/>
        <v>4.6199999999999998E-2</v>
      </c>
      <c r="S31" s="38">
        <f t="shared" si="2"/>
        <v>128.58449999999999</v>
      </c>
      <c r="T31" s="38">
        <f t="shared" si="2"/>
        <v>6.3838333333333335</v>
      </c>
      <c r="U31" s="37"/>
      <c r="V31" s="121"/>
      <c r="W31" s="121"/>
      <c r="X31" s="121"/>
    </row>
    <row r="32" spans="1:24" s="118" customFormat="1" ht="11.25" customHeight="1" x14ac:dyDescent="0.2">
      <c r="A32" s="235" t="s">
        <v>62</v>
      </c>
      <c r="B32" s="236"/>
      <c r="C32" s="236"/>
      <c r="D32" s="237"/>
      <c r="E32" s="105"/>
      <c r="F32" s="134">
        <f t="shared" ref="F32:T32" si="3">F31/F40</f>
        <v>0.47538518518518519</v>
      </c>
      <c r="G32" s="101">
        <f t="shared" si="3"/>
        <v>0.37542028985507242</v>
      </c>
      <c r="H32" s="101">
        <f t="shared" si="3"/>
        <v>0.29259878154917324</v>
      </c>
      <c r="I32" s="101">
        <f t="shared" si="3"/>
        <v>0.34202500000000002</v>
      </c>
      <c r="J32" s="101">
        <f t="shared" si="3"/>
        <v>0.61904761904761907</v>
      </c>
      <c r="K32" s="101">
        <f t="shared" si="3"/>
        <v>0.356875</v>
      </c>
      <c r="L32" s="101">
        <f t="shared" si="3"/>
        <v>0.65965714285714283</v>
      </c>
      <c r="M32" s="101">
        <f t="shared" si="3"/>
        <v>0.27287037037037037</v>
      </c>
      <c r="N32" s="101">
        <f t="shared" si="3"/>
        <v>0.51111111111111118</v>
      </c>
      <c r="O32" s="101">
        <f t="shared" si="3"/>
        <v>0.21971986111111111</v>
      </c>
      <c r="P32" s="101">
        <f t="shared" si="3"/>
        <v>0.3051381944444444</v>
      </c>
      <c r="Q32" s="101">
        <f t="shared" si="3"/>
        <v>0.19305714285714287</v>
      </c>
      <c r="R32" s="101">
        <f t="shared" si="3"/>
        <v>0.46199999999999997</v>
      </c>
      <c r="S32" s="101">
        <f t="shared" si="3"/>
        <v>0.42861499999999997</v>
      </c>
      <c r="T32" s="101">
        <f t="shared" si="3"/>
        <v>0.35465740740740742</v>
      </c>
      <c r="U32" s="122"/>
      <c r="V32" s="121"/>
      <c r="W32" s="121"/>
      <c r="X32" s="121"/>
    </row>
    <row r="33" spans="1:24" s="118" customFormat="1" ht="11.25" hidden="1" customHeight="1" x14ac:dyDescent="0.2">
      <c r="A33" s="191"/>
      <c r="B33" s="192"/>
      <c r="C33" s="192"/>
      <c r="D33" s="192"/>
      <c r="E33" s="142">
        <f>90-E31</f>
        <v>0</v>
      </c>
      <c r="F33" s="134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1"/>
      <c r="U33" s="122"/>
      <c r="V33" s="121"/>
      <c r="W33" s="121"/>
      <c r="X33" s="121"/>
    </row>
    <row r="34" spans="1:24" s="118" customFormat="1" ht="11.25" customHeight="1" x14ac:dyDescent="0.2">
      <c r="A34" s="227" t="s">
        <v>30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9"/>
      <c r="U34" s="10"/>
      <c r="V34" s="23"/>
      <c r="W34" s="23"/>
      <c r="X34" s="23"/>
    </row>
    <row r="35" spans="1:24" s="107" customFormat="1" ht="12" customHeight="1" x14ac:dyDescent="0.2">
      <c r="A35" s="113"/>
      <c r="B35" s="238"/>
      <c r="C35" s="238"/>
      <c r="D35" s="109"/>
      <c r="E35" s="108"/>
      <c r="F35" s="108"/>
      <c r="G35" s="170"/>
      <c r="H35" s="170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</row>
    <row r="36" spans="1:24" s="118" customFormat="1" ht="21.75" customHeight="1" x14ac:dyDescent="0.2">
      <c r="A36" s="131"/>
      <c r="B36" s="231"/>
      <c r="C36" s="232"/>
      <c r="D36" s="125"/>
      <c r="E36" s="126"/>
      <c r="F36" s="126"/>
      <c r="G36" s="123"/>
      <c r="H36" s="126"/>
      <c r="I36" s="126"/>
      <c r="J36" s="123"/>
      <c r="K36" s="123"/>
      <c r="L36" s="126"/>
      <c r="M36" s="123"/>
      <c r="N36" s="123"/>
      <c r="O36" s="124"/>
      <c r="P36" s="124"/>
      <c r="Q36" s="125"/>
      <c r="R36" s="125"/>
      <c r="S36" s="124"/>
      <c r="T36" s="126"/>
      <c r="U36" s="128"/>
      <c r="V36" s="129"/>
      <c r="W36" s="129"/>
      <c r="X36" s="129"/>
    </row>
    <row r="37" spans="1:24" s="1" customFormat="1" ht="11.25" customHeight="1" x14ac:dyDescent="0.2">
      <c r="A37" s="58" t="s">
        <v>31</v>
      </c>
      <c r="B37" s="59"/>
      <c r="C37" s="59"/>
      <c r="D37" s="62">
        <f t="shared" ref="D37:T37" si="4">SUM(D35:D36)</f>
        <v>0</v>
      </c>
      <c r="E37" s="132">
        <f t="shared" si="4"/>
        <v>0</v>
      </c>
      <c r="F37" s="38">
        <f t="shared" si="4"/>
        <v>0</v>
      </c>
      <c r="G37" s="37">
        <f t="shared" si="4"/>
        <v>0</v>
      </c>
      <c r="H37" s="37">
        <f t="shared" si="4"/>
        <v>0</v>
      </c>
      <c r="I37" s="37">
        <f t="shared" si="4"/>
        <v>0</v>
      </c>
      <c r="J37" s="37">
        <f t="shared" si="4"/>
        <v>0</v>
      </c>
      <c r="K37" s="37">
        <f t="shared" si="4"/>
        <v>0</v>
      </c>
      <c r="L37" s="37">
        <f t="shared" si="4"/>
        <v>0</v>
      </c>
      <c r="M37" s="37">
        <f t="shared" si="4"/>
        <v>0</v>
      </c>
      <c r="N37" s="37">
        <f t="shared" si="4"/>
        <v>0</v>
      </c>
      <c r="O37" s="37">
        <f t="shared" si="4"/>
        <v>0</v>
      </c>
      <c r="P37" s="37">
        <f t="shared" si="4"/>
        <v>0</v>
      </c>
      <c r="Q37" s="37">
        <f t="shared" si="4"/>
        <v>0</v>
      </c>
      <c r="R37" s="37">
        <f t="shared" si="4"/>
        <v>0</v>
      </c>
      <c r="S37" s="37">
        <f t="shared" si="4"/>
        <v>0</v>
      </c>
      <c r="T37" s="37">
        <f t="shared" si="4"/>
        <v>0</v>
      </c>
      <c r="U37" s="37"/>
      <c r="V37" s="121"/>
      <c r="W37" s="121"/>
      <c r="X37" s="121"/>
    </row>
    <row r="38" spans="1:24" s="1" customFormat="1" ht="11.25" customHeight="1" x14ac:dyDescent="0.2">
      <c r="A38" s="235" t="s">
        <v>62</v>
      </c>
      <c r="B38" s="236"/>
      <c r="C38" s="236"/>
      <c r="D38" s="237"/>
      <c r="E38" s="105"/>
      <c r="F38" s="134">
        <f>F37/F40</f>
        <v>0</v>
      </c>
      <c r="G38" s="104">
        <f t="shared" ref="G38:T38" si="5">G37/G40</f>
        <v>0</v>
      </c>
      <c r="H38" s="104">
        <f t="shared" si="5"/>
        <v>0</v>
      </c>
      <c r="I38" s="104">
        <f t="shared" si="5"/>
        <v>0</v>
      </c>
      <c r="J38" s="104">
        <f t="shared" si="5"/>
        <v>0</v>
      </c>
      <c r="K38" s="104">
        <f t="shared" si="5"/>
        <v>0</v>
      </c>
      <c r="L38" s="104">
        <f t="shared" si="5"/>
        <v>0</v>
      </c>
      <c r="M38" s="104">
        <f t="shared" si="5"/>
        <v>0</v>
      </c>
      <c r="N38" s="104">
        <f t="shared" si="5"/>
        <v>0</v>
      </c>
      <c r="O38" s="104">
        <f t="shared" si="5"/>
        <v>0</v>
      </c>
      <c r="P38" s="104">
        <f t="shared" si="5"/>
        <v>0</v>
      </c>
      <c r="Q38" s="104">
        <f t="shared" si="5"/>
        <v>0</v>
      </c>
      <c r="R38" s="104">
        <f t="shared" si="5"/>
        <v>0</v>
      </c>
      <c r="S38" s="104">
        <f t="shared" si="5"/>
        <v>0</v>
      </c>
      <c r="T38" s="104">
        <f t="shared" si="5"/>
        <v>0</v>
      </c>
      <c r="U38" s="56"/>
      <c r="V38" s="121"/>
      <c r="W38" s="121"/>
      <c r="X38" s="121"/>
    </row>
    <row r="39" spans="1:24" s="1" customFormat="1" ht="11.25" customHeight="1" x14ac:dyDescent="0.2">
      <c r="A39" s="235" t="s">
        <v>61</v>
      </c>
      <c r="B39" s="236"/>
      <c r="C39" s="236"/>
      <c r="D39" s="237"/>
      <c r="E39" s="193"/>
      <c r="F39" s="38">
        <f t="shared" ref="F39:T39" si="6">SUM(F19,F31,F37)</f>
        <v>70.664666666666662</v>
      </c>
      <c r="G39" s="37">
        <f t="shared" si="6"/>
        <v>63.601999999999997</v>
      </c>
      <c r="H39" s="37">
        <f t="shared" si="6"/>
        <v>189.50066666666669</v>
      </c>
      <c r="I39" s="37">
        <f t="shared" si="6"/>
        <v>1613.2113333333336</v>
      </c>
      <c r="J39" s="38">
        <f t="shared" si="6"/>
        <v>1.7523333333333333</v>
      </c>
      <c r="K39" s="38">
        <f t="shared" si="6"/>
        <v>1.5343333333333335</v>
      </c>
      <c r="L39" s="46">
        <f t="shared" si="6"/>
        <v>55.352666666666664</v>
      </c>
      <c r="M39" s="38">
        <f t="shared" si="6"/>
        <v>0.73858333333333337</v>
      </c>
      <c r="N39" s="46">
        <f t="shared" si="6"/>
        <v>7.1566666666666672</v>
      </c>
      <c r="O39" s="37">
        <f t="shared" si="6"/>
        <v>440.58716666666669</v>
      </c>
      <c r="P39" s="38">
        <f t="shared" si="6"/>
        <v>787.74916666666661</v>
      </c>
      <c r="Q39" s="37">
        <f t="shared" si="6"/>
        <v>3.8774666666666668</v>
      </c>
      <c r="R39" s="39">
        <f t="shared" si="6"/>
        <v>5.8533333333333333E-2</v>
      </c>
      <c r="S39" s="38">
        <f t="shared" si="6"/>
        <v>211.17449999999999</v>
      </c>
      <c r="T39" s="38">
        <f t="shared" si="6"/>
        <v>9.7471666666666668</v>
      </c>
      <c r="U39" s="47"/>
      <c r="V39" s="120"/>
      <c r="W39" s="120"/>
      <c r="X39" s="120"/>
    </row>
    <row r="40" spans="1:24" s="1" customFormat="1" ht="11.25" customHeight="1" x14ac:dyDescent="0.2">
      <c r="A40" s="235" t="s">
        <v>63</v>
      </c>
      <c r="B40" s="236"/>
      <c r="C40" s="236"/>
      <c r="D40" s="237"/>
      <c r="E40" s="193"/>
      <c r="F40" s="126">
        <v>90</v>
      </c>
      <c r="G40" s="124">
        <v>92</v>
      </c>
      <c r="H40" s="124">
        <v>383</v>
      </c>
      <c r="I40" s="124">
        <v>2720</v>
      </c>
      <c r="J40" s="126">
        <v>1.4</v>
      </c>
      <c r="K40" s="126">
        <v>1.6</v>
      </c>
      <c r="L40" s="125">
        <v>70</v>
      </c>
      <c r="M40" s="126">
        <v>0.9</v>
      </c>
      <c r="N40" s="125">
        <v>12</v>
      </c>
      <c r="O40" s="125">
        <v>1200</v>
      </c>
      <c r="P40" s="125">
        <v>1200</v>
      </c>
      <c r="Q40" s="125">
        <v>14</v>
      </c>
      <c r="R40" s="124">
        <v>0.1</v>
      </c>
      <c r="S40" s="125">
        <v>300</v>
      </c>
      <c r="T40" s="126">
        <v>18</v>
      </c>
      <c r="U40" s="128"/>
      <c r="V40" s="129"/>
      <c r="W40" s="129"/>
      <c r="X40" s="129"/>
    </row>
    <row r="41" spans="1:24" s="7" customFormat="1" ht="11.25" customHeight="1" x14ac:dyDescent="0.2">
      <c r="A41" s="220" t="s">
        <v>62</v>
      </c>
      <c r="B41" s="221"/>
      <c r="C41" s="221"/>
      <c r="D41" s="222"/>
      <c r="E41" s="188"/>
      <c r="F41" s="66">
        <f t="shared" ref="F41:T41" si="7">F39/F40</f>
        <v>0.78516296296296295</v>
      </c>
      <c r="G41" s="42">
        <f t="shared" si="7"/>
        <v>0.69132608695652176</v>
      </c>
      <c r="H41" s="42">
        <f t="shared" si="7"/>
        <v>0.49477980852915582</v>
      </c>
      <c r="I41" s="42">
        <f t="shared" si="7"/>
        <v>0.59309240196078439</v>
      </c>
      <c r="J41" s="42">
        <f t="shared" si="7"/>
        <v>1.2516666666666667</v>
      </c>
      <c r="K41" s="42">
        <f t="shared" si="7"/>
        <v>0.95895833333333347</v>
      </c>
      <c r="L41" s="42">
        <f t="shared" si="7"/>
        <v>0.79075238095238087</v>
      </c>
      <c r="M41" s="43">
        <f t="shared" si="7"/>
        <v>0.82064814814814813</v>
      </c>
      <c r="N41" s="43">
        <f t="shared" si="7"/>
        <v>0.59638888888888897</v>
      </c>
      <c r="O41" s="42">
        <f t="shared" si="7"/>
        <v>0.36715597222222224</v>
      </c>
      <c r="P41" s="42">
        <f t="shared" si="7"/>
        <v>0.65645763888888886</v>
      </c>
      <c r="Q41" s="42">
        <f t="shared" si="7"/>
        <v>0.2769619047619048</v>
      </c>
      <c r="R41" s="43">
        <f t="shared" si="7"/>
        <v>0.58533333333333326</v>
      </c>
      <c r="S41" s="42">
        <f t="shared" si="7"/>
        <v>0.70391499999999996</v>
      </c>
      <c r="T41" s="42">
        <f t="shared" si="7"/>
        <v>0.5415092592592593</v>
      </c>
      <c r="U41" s="48"/>
      <c r="V41" s="49"/>
      <c r="W41" s="49"/>
      <c r="X41" s="49"/>
    </row>
    <row r="42" spans="1:24" s="84" customFormat="1" ht="13.5" customHeight="1" x14ac:dyDescent="0.2">
      <c r="A42" s="85"/>
      <c r="B42" s="85"/>
      <c r="C42" s="85"/>
      <c r="D42" s="85"/>
      <c r="E42" s="85"/>
      <c r="F42" s="93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6"/>
      <c r="W42" s="83"/>
      <c r="X42" s="83"/>
    </row>
  </sheetData>
  <autoFilter ref="B1:B42"/>
  <mergeCells count="50">
    <mergeCell ref="U1:U5"/>
    <mergeCell ref="V1:V5"/>
    <mergeCell ref="X1:X5"/>
    <mergeCell ref="A2:T2"/>
    <mergeCell ref="G4:I4"/>
    <mergeCell ref="L4:M4"/>
    <mergeCell ref="N4:Q4"/>
    <mergeCell ref="D5:F5"/>
    <mergeCell ref="L5:M5"/>
    <mergeCell ref="D10:F10"/>
    <mergeCell ref="L10:M10"/>
    <mergeCell ref="N10:T10"/>
    <mergeCell ref="N5:T5"/>
    <mergeCell ref="M1:T1"/>
    <mergeCell ref="M6:T6"/>
    <mergeCell ref="A8:T8"/>
    <mergeCell ref="G9:I9"/>
    <mergeCell ref="L9:M9"/>
    <mergeCell ref="N9:Q9"/>
    <mergeCell ref="B17:C17"/>
    <mergeCell ref="A11:A12"/>
    <mergeCell ref="B11:C12"/>
    <mergeCell ref="D11:D12"/>
    <mergeCell ref="F11:H11"/>
    <mergeCell ref="O11:T11"/>
    <mergeCell ref="B13:C13"/>
    <mergeCell ref="A14:T14"/>
    <mergeCell ref="B15:C15"/>
    <mergeCell ref="B16:C16"/>
    <mergeCell ref="I11:I12"/>
    <mergeCell ref="J11:N11"/>
    <mergeCell ref="A32:D32"/>
    <mergeCell ref="B18:C18"/>
    <mergeCell ref="A20:D20"/>
    <mergeCell ref="A22:T22"/>
    <mergeCell ref="B23:C23"/>
    <mergeCell ref="B24:C24"/>
    <mergeCell ref="B25:C25"/>
    <mergeCell ref="B26:C26"/>
    <mergeCell ref="B27:C27"/>
    <mergeCell ref="B28:C28"/>
    <mergeCell ref="B29:C29"/>
    <mergeCell ref="B30:C30"/>
    <mergeCell ref="A41:D41"/>
    <mergeCell ref="A34:T34"/>
    <mergeCell ref="B35:C35"/>
    <mergeCell ref="B36:C36"/>
    <mergeCell ref="A38:D38"/>
    <mergeCell ref="A39:D39"/>
    <mergeCell ref="A40:D40"/>
  </mergeCells>
  <pageMargins left="0.7" right="0.7" top="0.75" bottom="0.75" header="0.3" footer="0.3"/>
  <pageSetup paperSize="9" scale="79" orientation="landscape" r:id="rId1"/>
  <rowBreaks count="1" manualBreakCount="1">
    <brk id="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45"/>
  <sheetViews>
    <sheetView view="pageBreakPreview" topLeftCell="A10" zoomScale="80" zoomScaleNormal="80" zoomScaleSheetLayoutView="80" workbookViewId="0">
      <selection activeCell="G15" sqref="G15"/>
    </sheetView>
  </sheetViews>
  <sheetFormatPr defaultRowHeight="11.25" x14ac:dyDescent="0.2"/>
  <cols>
    <col min="1" max="1" width="9.5" style="53" customWidth="1"/>
    <col min="2" max="2" width="16.33203125" style="53" customWidth="1"/>
    <col min="3" max="3" width="25.1640625" style="53" customWidth="1"/>
    <col min="4" max="4" width="8" style="4" customWidth="1"/>
    <col min="5" max="5" width="9.6640625" style="4" customWidth="1"/>
    <col min="6" max="6" width="9.83203125" style="94" customWidth="1"/>
    <col min="7" max="7" width="9.6640625" style="4" customWidth="1"/>
    <col min="8" max="8" width="8.5" style="4" customWidth="1"/>
    <col min="9" max="9" width="10" style="4" customWidth="1"/>
    <col min="10" max="10" width="9" style="4" customWidth="1"/>
    <col min="11" max="11" width="9.83203125" style="4" customWidth="1"/>
    <col min="12" max="12" width="8.83203125" style="4" customWidth="1"/>
    <col min="13" max="13" width="10.33203125" style="4" customWidth="1"/>
    <col min="14" max="14" width="9.5" style="4" customWidth="1"/>
    <col min="15" max="15" width="9.33203125" style="4" customWidth="1"/>
    <col min="16" max="17" width="9.1640625" style="4" customWidth="1"/>
    <col min="18" max="18" width="9" style="4" customWidth="1"/>
    <col min="19" max="19" width="9.5" style="4" customWidth="1"/>
    <col min="20" max="20" width="8.6640625" style="4" customWidth="1"/>
    <col min="21" max="21" width="9.1640625" style="17" customWidth="1"/>
    <col min="22" max="23" width="9.1640625" style="26" customWidth="1"/>
    <col min="24" max="24" width="11.6640625" style="26" customWidth="1"/>
  </cols>
  <sheetData>
    <row r="1" spans="1:24" s="1" customFormat="1" ht="11.25" customHeight="1" x14ac:dyDescent="0.2">
      <c r="A1" s="54"/>
      <c r="B1" s="51"/>
      <c r="C1" s="51"/>
      <c r="D1" s="118"/>
      <c r="E1" s="118"/>
      <c r="F1" s="119"/>
      <c r="G1" s="118"/>
      <c r="H1" s="118"/>
      <c r="I1" s="118"/>
      <c r="J1" s="118"/>
      <c r="K1" s="118"/>
      <c r="L1" s="2"/>
      <c r="M1" s="206" t="s">
        <v>65</v>
      </c>
      <c r="N1" s="206"/>
      <c r="O1" s="206"/>
      <c r="P1" s="206"/>
      <c r="Q1" s="206"/>
      <c r="R1" s="206"/>
      <c r="S1" s="206"/>
      <c r="T1" s="206"/>
      <c r="U1" s="213"/>
      <c r="V1" s="202"/>
      <c r="W1" s="194"/>
      <c r="X1" s="202"/>
    </row>
    <row r="2" spans="1:24" s="1" customFormat="1" ht="15.75" customHeight="1" x14ac:dyDescent="0.25">
      <c r="A2" s="207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14"/>
      <c r="V2" s="202"/>
      <c r="W2" s="194"/>
      <c r="X2" s="202"/>
    </row>
    <row r="3" spans="1:24" s="1" customFormat="1" ht="15.75" customHeight="1" x14ac:dyDescent="0.25">
      <c r="A3" s="195"/>
      <c r="B3" s="195"/>
      <c r="C3" s="195"/>
      <c r="D3" s="195"/>
      <c r="E3" s="195"/>
      <c r="F3" s="195"/>
      <c r="G3" s="195"/>
      <c r="H3" s="195" t="s">
        <v>119</v>
      </c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214"/>
      <c r="V3" s="202"/>
      <c r="W3" s="194"/>
      <c r="X3" s="202"/>
    </row>
    <row r="4" spans="1:24" s="1" customFormat="1" ht="11.25" customHeight="1" x14ac:dyDescent="0.2">
      <c r="A4" s="55" t="s">
        <v>55</v>
      </c>
      <c r="B4" s="51"/>
      <c r="C4" s="51"/>
      <c r="D4" s="2"/>
      <c r="E4" s="2"/>
      <c r="F4" s="119"/>
      <c r="G4" s="208" t="s">
        <v>1</v>
      </c>
      <c r="H4" s="208"/>
      <c r="I4" s="208"/>
      <c r="J4" s="118"/>
      <c r="K4" s="118"/>
      <c r="L4" s="201" t="s">
        <v>2</v>
      </c>
      <c r="M4" s="201"/>
      <c r="N4" s="240"/>
      <c r="O4" s="240"/>
      <c r="P4" s="240"/>
      <c r="Q4" s="240"/>
      <c r="R4" s="118"/>
      <c r="S4" s="118"/>
      <c r="T4" s="118"/>
      <c r="U4" s="214"/>
      <c r="V4" s="202"/>
      <c r="W4" s="194"/>
      <c r="X4" s="202"/>
    </row>
    <row r="5" spans="1:24" s="1" customFormat="1" ht="11.25" customHeight="1" x14ac:dyDescent="0.2">
      <c r="A5" s="51"/>
      <c r="B5" s="51"/>
      <c r="C5" s="51"/>
      <c r="D5" s="201" t="s">
        <v>3</v>
      </c>
      <c r="E5" s="201"/>
      <c r="F5" s="201"/>
      <c r="G5" s="6">
        <v>1</v>
      </c>
      <c r="H5" s="118"/>
      <c r="I5" s="2"/>
      <c r="J5" s="2"/>
      <c r="K5" s="2"/>
      <c r="L5" s="201" t="s">
        <v>4</v>
      </c>
      <c r="M5" s="201"/>
      <c r="N5" s="208" t="s">
        <v>118</v>
      </c>
      <c r="O5" s="208"/>
      <c r="P5" s="208"/>
      <c r="Q5" s="208"/>
      <c r="R5" s="208"/>
      <c r="S5" s="208"/>
      <c r="T5" s="208"/>
      <c r="U5" s="215"/>
      <c r="V5" s="216"/>
      <c r="W5" s="194"/>
      <c r="X5" s="202"/>
    </row>
    <row r="6" spans="1:24" s="1" customFormat="1" ht="11.25" customHeight="1" x14ac:dyDescent="0.2">
      <c r="A6" s="249" t="s">
        <v>36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12"/>
      <c r="V6" s="24"/>
      <c r="W6" s="24"/>
      <c r="X6" s="24"/>
    </row>
    <row r="7" spans="1:24" s="1" customFormat="1" ht="11.25" customHeight="1" x14ac:dyDescent="0.2">
      <c r="A7" s="55" t="s">
        <v>55</v>
      </c>
      <c r="B7" s="51"/>
      <c r="C7" s="51"/>
      <c r="D7" s="2"/>
      <c r="E7" s="2"/>
      <c r="F7" s="119"/>
      <c r="G7" s="208" t="s">
        <v>37</v>
      </c>
      <c r="H7" s="208"/>
      <c r="I7" s="208"/>
      <c r="J7" s="118"/>
      <c r="K7" s="118"/>
      <c r="L7" s="201" t="s">
        <v>2</v>
      </c>
      <c r="M7" s="201"/>
      <c r="N7" s="240"/>
      <c r="O7" s="240"/>
      <c r="P7" s="240"/>
      <c r="Q7" s="240"/>
      <c r="R7" s="118"/>
      <c r="S7" s="118"/>
      <c r="T7" s="118"/>
      <c r="U7" s="13"/>
      <c r="V7" s="19"/>
      <c r="W7" s="19"/>
      <c r="X7" s="19"/>
    </row>
    <row r="8" spans="1:24" s="1" customFormat="1" ht="11.25" customHeight="1" x14ac:dyDescent="0.2">
      <c r="A8" s="51"/>
      <c r="B8" s="51"/>
      <c r="C8" s="51"/>
      <c r="D8" s="253" t="s">
        <v>3</v>
      </c>
      <c r="E8" s="253"/>
      <c r="F8" s="253"/>
      <c r="G8" s="6">
        <v>1</v>
      </c>
      <c r="H8" s="118"/>
      <c r="I8" s="2"/>
      <c r="J8" s="2"/>
      <c r="K8" s="2"/>
      <c r="L8" s="253" t="s">
        <v>4</v>
      </c>
      <c r="M8" s="253"/>
      <c r="N8" s="208" t="s">
        <v>118</v>
      </c>
      <c r="O8" s="208"/>
      <c r="P8" s="208"/>
      <c r="Q8" s="208"/>
      <c r="R8" s="208"/>
      <c r="S8" s="208"/>
      <c r="T8" s="208"/>
      <c r="U8" s="14"/>
      <c r="V8" s="20"/>
      <c r="W8" s="20"/>
      <c r="X8" s="20"/>
    </row>
    <row r="9" spans="1:24" s="1" customFormat="1" ht="21.75" customHeight="1" x14ac:dyDescent="0.2">
      <c r="A9" s="217" t="s">
        <v>80</v>
      </c>
      <c r="B9" s="217" t="s">
        <v>6</v>
      </c>
      <c r="C9" s="217"/>
      <c r="D9" s="217" t="s">
        <v>7</v>
      </c>
      <c r="E9" s="189"/>
      <c r="F9" s="251" t="s">
        <v>8</v>
      </c>
      <c r="G9" s="251"/>
      <c r="H9" s="251"/>
      <c r="I9" s="217" t="s">
        <v>9</v>
      </c>
      <c r="J9" s="251" t="s">
        <v>10</v>
      </c>
      <c r="K9" s="251"/>
      <c r="L9" s="251"/>
      <c r="M9" s="251"/>
      <c r="N9" s="251"/>
      <c r="O9" s="251" t="s">
        <v>11</v>
      </c>
      <c r="P9" s="251"/>
      <c r="Q9" s="251"/>
      <c r="R9" s="251"/>
      <c r="S9" s="251"/>
      <c r="T9" s="251"/>
      <c r="U9" s="8"/>
      <c r="V9" s="21"/>
      <c r="W9" s="21"/>
      <c r="X9" s="21"/>
    </row>
    <row r="10" spans="1:24" s="1" customFormat="1" ht="21" customHeight="1" x14ac:dyDescent="0.2">
      <c r="A10" s="218"/>
      <c r="B10" s="211"/>
      <c r="C10" s="212"/>
      <c r="D10" s="218"/>
      <c r="E10" s="190">
        <v>4</v>
      </c>
      <c r="F10" s="89" t="s">
        <v>12</v>
      </c>
      <c r="G10" s="197" t="s">
        <v>13</v>
      </c>
      <c r="H10" s="197" t="s">
        <v>14</v>
      </c>
      <c r="I10" s="218"/>
      <c r="J10" s="197" t="s">
        <v>15</v>
      </c>
      <c r="K10" s="197" t="s">
        <v>57</v>
      </c>
      <c r="L10" s="197" t="s">
        <v>16</v>
      </c>
      <c r="M10" s="197" t="s">
        <v>17</v>
      </c>
      <c r="N10" s="197" t="s">
        <v>18</v>
      </c>
      <c r="O10" s="197" t="s">
        <v>19</v>
      </c>
      <c r="P10" s="197" t="s">
        <v>20</v>
      </c>
      <c r="Q10" s="197" t="s">
        <v>58</v>
      </c>
      <c r="R10" s="197" t="s">
        <v>59</v>
      </c>
      <c r="S10" s="197" t="s">
        <v>21</v>
      </c>
      <c r="T10" s="197" t="s">
        <v>22</v>
      </c>
      <c r="U10" s="8"/>
      <c r="V10" s="21"/>
      <c r="W10" s="21"/>
      <c r="X10" s="21"/>
    </row>
    <row r="11" spans="1:24" s="1" customFormat="1" ht="11.25" customHeight="1" x14ac:dyDescent="0.2">
      <c r="A11" s="198">
        <v>1</v>
      </c>
      <c r="B11" s="252">
        <v>2</v>
      </c>
      <c r="C11" s="252"/>
      <c r="D11" s="36">
        <v>3</v>
      </c>
      <c r="E11" s="36"/>
      <c r="F11" s="90">
        <v>4</v>
      </c>
      <c r="G11" s="36">
        <v>5</v>
      </c>
      <c r="H11" s="36">
        <v>6</v>
      </c>
      <c r="I11" s="36">
        <v>7</v>
      </c>
      <c r="J11" s="36">
        <v>8</v>
      </c>
      <c r="K11" s="36">
        <v>9</v>
      </c>
      <c r="L11" s="36">
        <v>10</v>
      </c>
      <c r="M11" s="36">
        <v>11</v>
      </c>
      <c r="N11" s="36">
        <v>12</v>
      </c>
      <c r="O11" s="36">
        <v>13</v>
      </c>
      <c r="P11" s="36">
        <v>14</v>
      </c>
      <c r="Q11" s="36">
        <v>15</v>
      </c>
      <c r="R11" s="36">
        <v>16</v>
      </c>
      <c r="S11" s="36">
        <v>17</v>
      </c>
      <c r="T11" s="36">
        <v>18</v>
      </c>
      <c r="U11" s="9"/>
      <c r="V11" s="22"/>
      <c r="W11" s="22"/>
      <c r="X11" s="22"/>
    </row>
    <row r="12" spans="1:24" s="1" customFormat="1" ht="11.25" customHeight="1" x14ac:dyDescent="0.2">
      <c r="A12" s="255" t="s">
        <v>26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10"/>
      <c r="V12" s="23"/>
      <c r="W12" s="23"/>
      <c r="X12" s="23"/>
    </row>
    <row r="13" spans="1:24" s="118" customFormat="1" ht="11.25" customHeight="1" x14ac:dyDescent="0.2">
      <c r="A13" s="99">
        <v>338</v>
      </c>
      <c r="B13" s="219" t="s">
        <v>106</v>
      </c>
      <c r="C13" s="219"/>
      <c r="D13" s="125">
        <v>100</v>
      </c>
      <c r="E13" s="126">
        <v>29.99</v>
      </c>
      <c r="F13" s="126">
        <v>0.4</v>
      </c>
      <c r="G13" s="126">
        <v>0.4</v>
      </c>
      <c r="H13" s="126">
        <v>9.8000000000000007</v>
      </c>
      <c r="I13" s="126">
        <f>F13*4+G13*9+H13*4</f>
        <v>44.400000000000006</v>
      </c>
      <c r="J13" s="126">
        <v>0.04</v>
      </c>
      <c r="K13" s="126">
        <v>0.02</v>
      </c>
      <c r="L13" s="125">
        <v>10</v>
      </c>
      <c r="M13" s="125">
        <v>0.02</v>
      </c>
      <c r="N13" s="126">
        <v>0.2</v>
      </c>
      <c r="O13" s="126">
        <v>16</v>
      </c>
      <c r="P13" s="126">
        <v>11</v>
      </c>
      <c r="Q13" s="125">
        <v>0.03</v>
      </c>
      <c r="R13" s="125">
        <v>2E-3</v>
      </c>
      <c r="S13" s="126">
        <v>9</v>
      </c>
      <c r="T13" s="126">
        <v>2.2000000000000002</v>
      </c>
      <c r="U13" s="128"/>
      <c r="V13" s="27"/>
      <c r="W13" s="27"/>
      <c r="X13" s="28"/>
    </row>
    <row r="14" spans="1:24" s="118" customFormat="1" ht="12" customHeight="1" x14ac:dyDescent="0.2">
      <c r="A14" s="99">
        <v>15</v>
      </c>
      <c r="B14" s="231" t="s">
        <v>74</v>
      </c>
      <c r="C14" s="232"/>
      <c r="D14" s="125">
        <v>25</v>
      </c>
      <c r="E14" s="126">
        <v>16</v>
      </c>
      <c r="F14" s="126">
        <f>2.32*D14/10</f>
        <v>5.7999999999999989</v>
      </c>
      <c r="G14" s="126">
        <f>3.4*D14/10</f>
        <v>8.5</v>
      </c>
      <c r="H14" s="126">
        <f>0.01*D14/10</f>
        <v>2.5000000000000001E-2</v>
      </c>
      <c r="I14" s="126">
        <f>F14*4+G14*9+H14*4</f>
        <v>99.799999999999983</v>
      </c>
      <c r="J14" s="126">
        <f>0.004*D14/10</f>
        <v>0.01</v>
      </c>
      <c r="K14" s="126">
        <f>0.03*D14/10</f>
        <v>7.4999999999999997E-2</v>
      </c>
      <c r="L14" s="126">
        <f>0.07*D14/10</f>
        <v>0.17500000000000002</v>
      </c>
      <c r="M14" s="127">
        <f>0.023*D14/10</f>
        <v>5.7499999999999996E-2</v>
      </c>
      <c r="N14" s="126">
        <f>0.05*D14/10</f>
        <v>0.125</v>
      </c>
      <c r="O14" s="126">
        <f>88*D14/10</f>
        <v>220</v>
      </c>
      <c r="P14" s="126">
        <f>50*D14/10</f>
        <v>125</v>
      </c>
      <c r="Q14" s="126">
        <f>0.4*D14/10</f>
        <v>1</v>
      </c>
      <c r="R14" s="127">
        <f>0.02*D14/10</f>
        <v>0.05</v>
      </c>
      <c r="S14" s="126">
        <f>3.5*D14/10</f>
        <v>8.75</v>
      </c>
      <c r="T14" s="126">
        <f>0.13*D14/10</f>
        <v>0.32500000000000001</v>
      </c>
      <c r="U14" s="128"/>
      <c r="V14" s="27"/>
      <c r="W14" s="27"/>
      <c r="X14" s="28"/>
    </row>
    <row r="15" spans="1:24" s="118" customFormat="1" ht="21.75" customHeight="1" x14ac:dyDescent="0.2">
      <c r="A15" s="198">
        <v>173</v>
      </c>
      <c r="B15" s="231" t="s">
        <v>112</v>
      </c>
      <c r="C15" s="232"/>
      <c r="D15" s="125">
        <v>250</v>
      </c>
      <c r="E15" s="126">
        <v>17.3</v>
      </c>
      <c r="F15" s="126">
        <v>9.125</v>
      </c>
      <c r="G15" s="126">
        <v>15.62</v>
      </c>
      <c r="H15" s="126">
        <v>67.87</v>
      </c>
      <c r="I15" s="126">
        <v>448.62</v>
      </c>
      <c r="J15" s="126">
        <v>0.17</v>
      </c>
      <c r="K15" s="126">
        <v>0.22500000000000001</v>
      </c>
      <c r="L15" s="126">
        <v>4.1879999999999997</v>
      </c>
      <c r="M15" s="127">
        <v>4.5999999999999999E-2</v>
      </c>
      <c r="N15" s="123">
        <v>1.62</v>
      </c>
      <c r="O15" s="126">
        <v>184.5</v>
      </c>
      <c r="P15" s="126">
        <v>248.25</v>
      </c>
      <c r="Q15" s="125">
        <v>0</v>
      </c>
      <c r="R15" s="127">
        <v>0</v>
      </c>
      <c r="S15" s="126">
        <v>72.25</v>
      </c>
      <c r="T15" s="126">
        <v>1.625</v>
      </c>
      <c r="U15" s="128"/>
      <c r="V15" s="258" t="s">
        <v>68</v>
      </c>
      <c r="W15" s="258" t="s">
        <v>69</v>
      </c>
      <c r="X15" s="258" t="s">
        <v>70</v>
      </c>
    </row>
    <row r="16" spans="1:24" s="118" customFormat="1" ht="12.75" customHeight="1" x14ac:dyDescent="0.2">
      <c r="A16" s="198">
        <v>377</v>
      </c>
      <c r="B16" s="219" t="s">
        <v>45</v>
      </c>
      <c r="C16" s="219"/>
      <c r="D16" s="125">
        <v>200</v>
      </c>
      <c r="E16" s="126">
        <v>3.61</v>
      </c>
      <c r="F16" s="126">
        <v>0.26</v>
      </c>
      <c r="G16" s="126">
        <v>0.06</v>
      </c>
      <c r="H16" s="126">
        <v>15.22</v>
      </c>
      <c r="I16" s="126">
        <f>F16*4+G16*9+H16*4</f>
        <v>62.46</v>
      </c>
      <c r="J16" s="126"/>
      <c r="K16" s="126">
        <v>0.01</v>
      </c>
      <c r="L16" s="126">
        <v>2.9</v>
      </c>
      <c r="M16" s="123">
        <v>0</v>
      </c>
      <c r="N16" s="126">
        <v>0.06</v>
      </c>
      <c r="O16" s="126">
        <v>8.0500000000000007</v>
      </c>
      <c r="P16" s="126">
        <v>9.7799999999999994</v>
      </c>
      <c r="Q16" s="126">
        <v>1.7000000000000001E-2</v>
      </c>
      <c r="R16" s="127">
        <v>0</v>
      </c>
      <c r="S16" s="126">
        <v>5.24</v>
      </c>
      <c r="T16" s="126">
        <v>0.87</v>
      </c>
      <c r="U16" s="128"/>
      <c r="V16" s="258"/>
      <c r="W16" s="258"/>
      <c r="X16" s="258"/>
    </row>
    <row r="17" spans="1:25" s="118" customFormat="1" ht="12.75" customHeight="1" x14ac:dyDescent="0.2">
      <c r="A17" s="131" t="s">
        <v>66</v>
      </c>
      <c r="B17" s="231" t="s">
        <v>53</v>
      </c>
      <c r="C17" s="232"/>
      <c r="D17" s="125">
        <v>40</v>
      </c>
      <c r="E17" s="126">
        <v>3.1</v>
      </c>
      <c r="F17" s="126">
        <f>1.52*D17/30</f>
        <v>2.0266666666666664</v>
      </c>
      <c r="G17" s="127">
        <f>0.16*D17/30</f>
        <v>0.21333333333333335</v>
      </c>
      <c r="H17" s="127">
        <f>9.84*D17/30</f>
        <v>13.120000000000001</v>
      </c>
      <c r="I17" s="127">
        <f>F17*4+G17*9+H17*4</f>
        <v>62.506666666666668</v>
      </c>
      <c r="J17" s="127">
        <f>0.02*D17/30</f>
        <v>2.6666666666666668E-2</v>
      </c>
      <c r="K17" s="127">
        <f>0.01*D17/30</f>
        <v>1.3333333333333334E-2</v>
      </c>
      <c r="L17" s="127">
        <f>0.44*D17/30</f>
        <v>0.58666666666666667</v>
      </c>
      <c r="M17" s="127">
        <v>0</v>
      </c>
      <c r="N17" s="127">
        <f>0.7*D17/30</f>
        <v>0.93333333333333335</v>
      </c>
      <c r="O17" s="127">
        <f>4*D17/30</f>
        <v>5.333333333333333</v>
      </c>
      <c r="P17" s="127">
        <f>13*D17/30</f>
        <v>17.333333333333332</v>
      </c>
      <c r="Q17" s="127">
        <f>0.008*D17/30</f>
        <v>1.0666666666666666E-2</v>
      </c>
      <c r="R17" s="127">
        <f>0.001*D17/30</f>
        <v>1.3333333333333333E-3</v>
      </c>
      <c r="S17" s="127">
        <v>0</v>
      </c>
      <c r="T17" s="127">
        <f>0.22*D17/30</f>
        <v>0.29333333333333333</v>
      </c>
      <c r="U17" s="128"/>
      <c r="V17" s="258"/>
      <c r="W17" s="258"/>
      <c r="X17" s="258"/>
    </row>
    <row r="18" spans="1:25" s="1" customFormat="1" ht="11.25" customHeight="1" x14ac:dyDescent="0.2">
      <c r="A18" s="57" t="s">
        <v>27</v>
      </c>
      <c r="B18" s="57"/>
      <c r="C18" s="57"/>
      <c r="D18" s="62">
        <f t="shared" ref="D18:T18" si="0">SUM(D13:D17)</f>
        <v>615</v>
      </c>
      <c r="E18" s="132">
        <f>SUM(E13:E17)</f>
        <v>69.999999999999986</v>
      </c>
      <c r="F18" s="38">
        <f t="shared" si="0"/>
        <v>17.611666666666665</v>
      </c>
      <c r="G18" s="37">
        <f t="shared" si="0"/>
        <v>24.793333333333333</v>
      </c>
      <c r="H18" s="37">
        <f t="shared" si="0"/>
        <v>106.03500000000001</v>
      </c>
      <c r="I18" s="37">
        <f t="shared" si="0"/>
        <v>717.78666666666663</v>
      </c>
      <c r="J18" s="38">
        <f t="shared" si="0"/>
        <v>0.2466666666666667</v>
      </c>
      <c r="K18" s="38">
        <f t="shared" si="0"/>
        <v>0.34333333333333332</v>
      </c>
      <c r="L18" s="38">
        <f t="shared" si="0"/>
        <v>17.849666666666664</v>
      </c>
      <c r="M18" s="38">
        <f t="shared" si="0"/>
        <v>0.1235</v>
      </c>
      <c r="N18" s="38">
        <f t="shared" si="0"/>
        <v>2.9383333333333335</v>
      </c>
      <c r="O18" s="38">
        <f t="shared" si="0"/>
        <v>433.88333333333333</v>
      </c>
      <c r="P18" s="38">
        <f t="shared" si="0"/>
        <v>411.36333333333329</v>
      </c>
      <c r="Q18" s="38">
        <f t="shared" si="0"/>
        <v>1.0576666666666665</v>
      </c>
      <c r="R18" s="39">
        <f t="shared" si="0"/>
        <v>5.3333333333333337E-2</v>
      </c>
      <c r="S18" s="38">
        <f t="shared" si="0"/>
        <v>95.24</v>
      </c>
      <c r="T18" s="38">
        <f t="shared" si="0"/>
        <v>5.3133333333333335</v>
      </c>
      <c r="U18" s="37"/>
      <c r="V18" s="66" t="e">
        <f>AVERAGE(I19,#REF!,#REF!,#REF!,#REF!)</f>
        <v>#REF!</v>
      </c>
      <c r="W18" s="66" t="e">
        <f>AVERAGE(I30,#REF!,#REF!,#REF!,#REF!)</f>
        <v>#REF!</v>
      </c>
      <c r="X18" s="66" t="e">
        <f>AVERAGE(I36,#REF!,#REF!,#REF!,#REF!)</f>
        <v>#REF!</v>
      </c>
      <c r="Y18" s="117"/>
    </row>
    <row r="19" spans="1:25" s="1" customFormat="1" ht="11.25" customHeight="1" x14ac:dyDescent="0.2">
      <c r="A19" s="235" t="s">
        <v>62</v>
      </c>
      <c r="B19" s="236"/>
      <c r="C19" s="236"/>
      <c r="D19" s="237"/>
      <c r="E19" s="193"/>
      <c r="F19" s="100">
        <f t="shared" ref="F19:T19" si="1">F18/F38</f>
        <v>0.19568518518518516</v>
      </c>
      <c r="G19" s="101">
        <f t="shared" si="1"/>
        <v>0.26949275362318842</v>
      </c>
      <c r="H19" s="101">
        <f t="shared" si="1"/>
        <v>0.2768537859007833</v>
      </c>
      <c r="I19" s="101">
        <f t="shared" si="1"/>
        <v>0.26389215686274509</v>
      </c>
      <c r="J19" s="101">
        <f t="shared" si="1"/>
        <v>0.17619047619047623</v>
      </c>
      <c r="K19" s="101">
        <f t="shared" si="1"/>
        <v>0.21458333333333332</v>
      </c>
      <c r="L19" s="101">
        <f t="shared" si="1"/>
        <v>0.25499523809523805</v>
      </c>
      <c r="M19" s="101">
        <f t="shared" si="1"/>
        <v>0.13722222222222222</v>
      </c>
      <c r="N19" s="101">
        <f t="shared" si="1"/>
        <v>0.24486111111111111</v>
      </c>
      <c r="O19" s="101">
        <f t="shared" si="1"/>
        <v>0.36156944444444444</v>
      </c>
      <c r="P19" s="101">
        <f t="shared" si="1"/>
        <v>0.34280277777777773</v>
      </c>
      <c r="Q19" s="101">
        <f t="shared" si="1"/>
        <v>7.5547619047619044E-2</v>
      </c>
      <c r="R19" s="101">
        <f t="shared" si="1"/>
        <v>0.53333333333333333</v>
      </c>
      <c r="S19" s="101">
        <f t="shared" si="1"/>
        <v>0.31746666666666667</v>
      </c>
      <c r="T19" s="101">
        <f t="shared" si="1"/>
        <v>0.29518518518518522</v>
      </c>
      <c r="U19" s="122"/>
      <c r="V19" s="121"/>
      <c r="W19" s="121"/>
      <c r="X19" s="121"/>
    </row>
    <row r="20" spans="1:25" s="1" customFormat="1" ht="11.25" hidden="1" customHeight="1" x14ac:dyDescent="0.2">
      <c r="A20" s="191"/>
      <c r="B20" s="192"/>
      <c r="C20" s="192"/>
      <c r="D20" s="193"/>
      <c r="E20" s="135">
        <f>70-E18</f>
        <v>0</v>
      </c>
      <c r="F20" s="102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22"/>
      <c r="V20" s="121"/>
      <c r="W20" s="121"/>
      <c r="X20" s="121"/>
    </row>
    <row r="21" spans="1:25" s="1" customFormat="1" ht="11.25" customHeight="1" x14ac:dyDescent="0.2">
      <c r="A21" s="255" t="s">
        <v>28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10"/>
      <c r="V21" s="23"/>
      <c r="W21" s="23"/>
      <c r="X21" s="23"/>
    </row>
    <row r="22" spans="1:25" s="119" customFormat="1" ht="21.75" customHeight="1" x14ac:dyDescent="0.2">
      <c r="A22" s="198">
        <v>24</v>
      </c>
      <c r="B22" s="256" t="s">
        <v>71</v>
      </c>
      <c r="C22" s="257"/>
      <c r="D22" s="125">
        <v>100</v>
      </c>
      <c r="E22" s="126">
        <v>21.64</v>
      </c>
      <c r="F22" s="126">
        <f>0.3*D22/60</f>
        <v>0.5</v>
      </c>
      <c r="G22" s="126">
        <f>2*D22/60</f>
        <v>3.3333333333333335</v>
      </c>
      <c r="H22" s="126">
        <f>1.6*D22/60</f>
        <v>2.6666666666666665</v>
      </c>
      <c r="I22" s="126">
        <f t="shared" ref="I22:I28" si="2">F22*4+G22*9+H22*4</f>
        <v>42.666666666666664</v>
      </c>
      <c r="J22" s="126">
        <f>0.06*D22/60</f>
        <v>0.1</v>
      </c>
      <c r="K22" s="126">
        <f>0.04*D22/60</f>
        <v>6.6666666666666666E-2</v>
      </c>
      <c r="L22" s="126">
        <f>12.4*D22/60</f>
        <v>20.666666666666668</v>
      </c>
      <c r="M22" s="127">
        <f>0.001*D22/60</f>
        <v>1.6666666666666668E-3</v>
      </c>
      <c r="N22" s="126">
        <f>1.5*D22/60</f>
        <v>2.5</v>
      </c>
      <c r="O22" s="126">
        <f>28.2*D22/60</f>
        <v>47</v>
      </c>
      <c r="P22" s="126">
        <f>32.3*D22/60</f>
        <v>53.833333333333329</v>
      </c>
      <c r="Q22" s="126">
        <f>0.3*D22/60</f>
        <v>0.5</v>
      </c>
      <c r="R22" s="127">
        <f>0.002*D22/60</f>
        <v>3.3333333333333335E-3</v>
      </c>
      <c r="S22" s="126">
        <f>18.6*D22/60</f>
        <v>31.000000000000004</v>
      </c>
      <c r="T22" s="126">
        <f>0.5*D22/60</f>
        <v>0.83333333333333337</v>
      </c>
      <c r="U22" s="128"/>
      <c r="V22" s="129"/>
      <c r="W22" s="129"/>
      <c r="X22" s="129"/>
    </row>
    <row r="23" spans="1:25" s="118" customFormat="1" ht="22.5" customHeight="1" x14ac:dyDescent="0.2">
      <c r="A23" s="198">
        <v>102</v>
      </c>
      <c r="B23" s="231" t="s">
        <v>90</v>
      </c>
      <c r="C23" s="232"/>
      <c r="D23" s="123">
        <v>250</v>
      </c>
      <c r="E23" s="126">
        <v>10.220000000000001</v>
      </c>
      <c r="F23" s="126">
        <v>6.22</v>
      </c>
      <c r="G23" s="126">
        <v>3.99</v>
      </c>
      <c r="H23" s="126">
        <v>21.73</v>
      </c>
      <c r="I23" s="126">
        <f t="shared" si="2"/>
        <v>147.71</v>
      </c>
      <c r="J23" s="126">
        <v>0.27</v>
      </c>
      <c r="K23" s="126">
        <v>0.09</v>
      </c>
      <c r="L23" s="126">
        <v>9</v>
      </c>
      <c r="M23" s="127">
        <v>1E-3</v>
      </c>
      <c r="N23" s="126">
        <v>0.25700000000000001</v>
      </c>
      <c r="O23" s="126">
        <v>54.13</v>
      </c>
      <c r="P23" s="126">
        <v>183.2</v>
      </c>
      <c r="Q23" s="126">
        <v>1.157</v>
      </c>
      <c r="R23" s="127">
        <v>1.2999999999999999E-2</v>
      </c>
      <c r="S23" s="126">
        <v>49.63</v>
      </c>
      <c r="T23" s="126">
        <v>1.03</v>
      </c>
      <c r="U23" s="128"/>
      <c r="V23" s="129"/>
      <c r="W23" s="129"/>
      <c r="X23" s="129"/>
    </row>
    <row r="24" spans="1:25" s="118" customFormat="1" ht="22.5" customHeight="1" x14ac:dyDescent="0.2">
      <c r="A24" s="198">
        <v>268</v>
      </c>
      <c r="B24" s="231" t="s">
        <v>87</v>
      </c>
      <c r="C24" s="232"/>
      <c r="D24" s="125">
        <v>100</v>
      </c>
      <c r="E24" s="126">
        <v>39.9</v>
      </c>
      <c r="F24" s="126">
        <f>13.46*D24/80</f>
        <v>16.824999999999999</v>
      </c>
      <c r="G24" s="124">
        <f>10.86*D24/80</f>
        <v>13.574999999999999</v>
      </c>
      <c r="H24" s="124">
        <f>5.34*D24/80</f>
        <v>6.6749999999999998</v>
      </c>
      <c r="I24" s="126">
        <f>F24*4+G24*9+H24*4</f>
        <v>216.17499999999998</v>
      </c>
      <c r="J24" s="126">
        <f>0.07*D24/80</f>
        <v>8.7500000000000008E-2</v>
      </c>
      <c r="K24" s="126">
        <f>0.23*D24/80</f>
        <v>0.28749999999999998</v>
      </c>
      <c r="L24" s="126">
        <f>0.75*D24/80</f>
        <v>0.9375</v>
      </c>
      <c r="M24" s="123">
        <f>0.2*D24/80</f>
        <v>0.25</v>
      </c>
      <c r="N24" s="127">
        <f>0.021*D24/80</f>
        <v>2.6250000000000002E-2</v>
      </c>
      <c r="O24" s="126">
        <f>73.74*D24/80</f>
        <v>92.174999999999983</v>
      </c>
      <c r="P24" s="124">
        <f>184.82*D24/80</f>
        <v>231.02500000000001</v>
      </c>
      <c r="Q24" s="126">
        <f>2.28*D24/80</f>
        <v>2.8499999999999996</v>
      </c>
      <c r="R24" s="127">
        <f>0.03*D24/80</f>
        <v>3.7499999999999999E-2</v>
      </c>
      <c r="S24" s="126">
        <f>29.86*D24/80</f>
        <v>37.325000000000003</v>
      </c>
      <c r="T24" s="126">
        <f>1.93*D24/80</f>
        <v>2.4125000000000001</v>
      </c>
      <c r="U24" s="128"/>
      <c r="V24" s="129"/>
      <c r="W24" s="129"/>
      <c r="X24" s="129"/>
    </row>
    <row r="25" spans="1:25" s="118" customFormat="1" ht="19.5" customHeight="1" x14ac:dyDescent="0.2">
      <c r="A25" s="198">
        <v>203</v>
      </c>
      <c r="B25" s="231" t="s">
        <v>76</v>
      </c>
      <c r="C25" s="232"/>
      <c r="D25" s="125">
        <v>180</v>
      </c>
      <c r="E25" s="126">
        <v>8.3699999999999992</v>
      </c>
      <c r="F25" s="126">
        <f>5.7*D25/150</f>
        <v>6.84</v>
      </c>
      <c r="G25" s="126">
        <f>3.43*D25/150</f>
        <v>4.1159999999999997</v>
      </c>
      <c r="H25" s="126">
        <f>36.45*D25/150</f>
        <v>43.740000000000009</v>
      </c>
      <c r="I25" s="126">
        <f t="shared" si="2"/>
        <v>239.36400000000003</v>
      </c>
      <c r="J25" s="126">
        <f>0.09*D25/150</f>
        <v>0.108</v>
      </c>
      <c r="K25" s="126">
        <f>0.03*D25/150</f>
        <v>3.5999999999999997E-2</v>
      </c>
      <c r="L25" s="126">
        <v>0</v>
      </c>
      <c r="M25" s="127">
        <f>0.03*D25/150</f>
        <v>3.5999999999999997E-2</v>
      </c>
      <c r="N25" s="126">
        <f>1.25*D25/150</f>
        <v>1.5</v>
      </c>
      <c r="O25" s="126">
        <f>13.28*D25/150</f>
        <v>15.936</v>
      </c>
      <c r="P25" s="126">
        <f>46.21*D25/150</f>
        <v>55.451999999999998</v>
      </c>
      <c r="Q25" s="126">
        <f>0.78*D25/150</f>
        <v>0.93600000000000005</v>
      </c>
      <c r="R25" s="127">
        <f>0.0015*D25/150</f>
        <v>1.8000000000000002E-3</v>
      </c>
      <c r="S25" s="126">
        <f>8.47*D25/150</f>
        <v>10.164000000000001</v>
      </c>
      <c r="T25" s="126">
        <f>0.86*D25/150</f>
        <v>1.032</v>
      </c>
      <c r="U25" s="128"/>
      <c r="V25" s="129"/>
      <c r="W25" s="129"/>
      <c r="X25" s="129"/>
    </row>
    <row r="26" spans="1:25" s="118" customFormat="1" ht="21.75" customHeight="1" x14ac:dyDescent="0.2">
      <c r="A26" s="131">
        <v>349</v>
      </c>
      <c r="B26" s="231" t="s">
        <v>93</v>
      </c>
      <c r="C26" s="232"/>
      <c r="D26" s="125">
        <v>200</v>
      </c>
      <c r="E26" s="126">
        <v>4.7300000000000004</v>
      </c>
      <c r="F26" s="126">
        <v>0.22</v>
      </c>
      <c r="G26" s="123"/>
      <c r="H26" s="126">
        <v>24.42</v>
      </c>
      <c r="I26" s="126">
        <f t="shared" si="2"/>
        <v>98.56</v>
      </c>
      <c r="J26" s="123"/>
      <c r="K26" s="123"/>
      <c r="L26" s="126">
        <v>26.11</v>
      </c>
      <c r="M26" s="123"/>
      <c r="N26" s="123"/>
      <c r="O26" s="124">
        <v>22.6</v>
      </c>
      <c r="P26" s="124">
        <v>7.7</v>
      </c>
      <c r="Q26" s="125">
        <v>0</v>
      </c>
      <c r="R26" s="125">
        <v>0</v>
      </c>
      <c r="S26" s="124">
        <v>3</v>
      </c>
      <c r="T26" s="126">
        <v>0.66</v>
      </c>
      <c r="U26" s="128"/>
      <c r="V26" s="129"/>
      <c r="W26" s="129"/>
      <c r="X26" s="129"/>
    </row>
    <row r="27" spans="1:25" s="118" customFormat="1" ht="11.25" customHeight="1" x14ac:dyDescent="0.2">
      <c r="A27" s="67" t="s">
        <v>66</v>
      </c>
      <c r="B27" s="231" t="s">
        <v>46</v>
      </c>
      <c r="C27" s="232"/>
      <c r="D27" s="125">
        <v>40</v>
      </c>
      <c r="E27" s="126">
        <v>2.04</v>
      </c>
      <c r="F27" s="126">
        <f>2.64*D27/40</f>
        <v>2.64</v>
      </c>
      <c r="G27" s="126">
        <f>0.48*D27/40</f>
        <v>0.48</v>
      </c>
      <c r="H27" s="126">
        <f>13.68*D27/40</f>
        <v>13.680000000000001</v>
      </c>
      <c r="I27" s="126">
        <f t="shared" si="2"/>
        <v>69.600000000000009</v>
      </c>
      <c r="J27" s="123">
        <f>0.08*D27/40</f>
        <v>0.08</v>
      </c>
      <c r="K27" s="126">
        <f>0.04*D27/40</f>
        <v>0.04</v>
      </c>
      <c r="L27" s="125">
        <v>0</v>
      </c>
      <c r="M27" s="125">
        <v>0</v>
      </c>
      <c r="N27" s="126">
        <f>2.4*D27/40</f>
        <v>2.4</v>
      </c>
      <c r="O27" s="126">
        <f>14*D27/40</f>
        <v>14</v>
      </c>
      <c r="P27" s="126">
        <f>63.2*D27/40</f>
        <v>63.2</v>
      </c>
      <c r="Q27" s="126">
        <f>1.2*D27/40</f>
        <v>1.2</v>
      </c>
      <c r="R27" s="127">
        <f>0.001*D27/40</f>
        <v>1E-3</v>
      </c>
      <c r="S27" s="126">
        <f>9.4*D27/40</f>
        <v>9.4</v>
      </c>
      <c r="T27" s="123">
        <f>0.78*D27/40</f>
        <v>0.78</v>
      </c>
      <c r="U27" s="29"/>
      <c r="V27" s="30"/>
      <c r="W27" s="30"/>
      <c r="X27" s="30"/>
    </row>
    <row r="28" spans="1:25" s="118" customFormat="1" ht="11.25" customHeight="1" x14ac:dyDescent="0.2">
      <c r="A28" s="131" t="s">
        <v>66</v>
      </c>
      <c r="B28" s="231" t="s">
        <v>53</v>
      </c>
      <c r="C28" s="232"/>
      <c r="D28" s="125">
        <v>40</v>
      </c>
      <c r="E28" s="126">
        <v>3.1</v>
      </c>
      <c r="F28" s="126">
        <f>1.52*D28/30</f>
        <v>2.0266666666666664</v>
      </c>
      <c r="G28" s="127">
        <f>0.16*D28/30</f>
        <v>0.21333333333333335</v>
      </c>
      <c r="H28" s="127">
        <f>9.84*D28/30</f>
        <v>13.120000000000001</v>
      </c>
      <c r="I28" s="127">
        <f t="shared" si="2"/>
        <v>62.506666666666668</v>
      </c>
      <c r="J28" s="127">
        <f>0.02*D28/30</f>
        <v>2.6666666666666668E-2</v>
      </c>
      <c r="K28" s="127">
        <f>0.01*D28/30</f>
        <v>1.3333333333333334E-2</v>
      </c>
      <c r="L28" s="127">
        <f>0.44*D28/30</f>
        <v>0.58666666666666667</v>
      </c>
      <c r="M28" s="127">
        <v>0</v>
      </c>
      <c r="N28" s="127">
        <f>0.7*D28/30</f>
        <v>0.93333333333333335</v>
      </c>
      <c r="O28" s="127">
        <f>4*D28/30</f>
        <v>5.333333333333333</v>
      </c>
      <c r="P28" s="127">
        <f>13*D28/30</f>
        <v>17.333333333333332</v>
      </c>
      <c r="Q28" s="127">
        <f>0.008*D28/30</f>
        <v>1.0666666666666666E-2</v>
      </c>
      <c r="R28" s="127">
        <f>0.001*D28/30</f>
        <v>1.3333333333333333E-3</v>
      </c>
      <c r="S28" s="127">
        <v>0</v>
      </c>
      <c r="T28" s="127">
        <f>0.22*D28/30</f>
        <v>0.29333333333333333</v>
      </c>
      <c r="U28" s="128"/>
      <c r="V28" s="129"/>
      <c r="W28" s="129"/>
      <c r="X28" s="129"/>
    </row>
    <row r="29" spans="1:25" s="1" customFormat="1" ht="11.25" customHeight="1" x14ac:dyDescent="0.2">
      <c r="A29" s="57" t="s">
        <v>29</v>
      </c>
      <c r="B29" s="57"/>
      <c r="C29" s="57"/>
      <c r="D29" s="62">
        <f t="shared" ref="D29:I29" si="3">SUM(D22:D28)</f>
        <v>910</v>
      </c>
      <c r="E29" s="132">
        <f t="shared" si="3"/>
        <v>90</v>
      </c>
      <c r="F29" s="38">
        <f t="shared" si="3"/>
        <v>35.271666666666661</v>
      </c>
      <c r="G29" s="38">
        <f t="shared" si="3"/>
        <v>25.707666666666668</v>
      </c>
      <c r="H29" s="38">
        <f t="shared" si="3"/>
        <v>126.03166666666669</v>
      </c>
      <c r="I29" s="37">
        <f t="shared" si="3"/>
        <v>876.58233333333339</v>
      </c>
      <c r="J29" s="38">
        <f t="shared" ref="J29:S29" si="4">SUM(J22:J28)</f>
        <v>0.67216666666666658</v>
      </c>
      <c r="K29" s="38">
        <f t="shared" si="4"/>
        <v>0.53349999999999997</v>
      </c>
      <c r="L29" s="38">
        <f t="shared" si="4"/>
        <v>57.300833333333337</v>
      </c>
      <c r="M29" s="38">
        <f t="shared" si="4"/>
        <v>0.28866666666666663</v>
      </c>
      <c r="N29" s="38">
        <f t="shared" si="4"/>
        <v>7.6165833333333346</v>
      </c>
      <c r="O29" s="38">
        <f t="shared" si="4"/>
        <v>251.17433333333332</v>
      </c>
      <c r="P29" s="38">
        <f t="shared" si="4"/>
        <v>611.74366666666674</v>
      </c>
      <c r="Q29" s="38">
        <f t="shared" si="4"/>
        <v>6.6536666666666662</v>
      </c>
      <c r="R29" s="39">
        <f t="shared" si="4"/>
        <v>5.7966666666666666E-2</v>
      </c>
      <c r="S29" s="38">
        <f t="shared" si="4"/>
        <v>140.51900000000003</v>
      </c>
      <c r="T29" s="38">
        <f>SUM(T22:T28)</f>
        <v>7.0411666666666664</v>
      </c>
      <c r="U29" s="37"/>
      <c r="V29" s="120"/>
      <c r="W29" s="120"/>
      <c r="X29" s="120"/>
    </row>
    <row r="30" spans="1:25" s="1" customFormat="1" ht="11.25" customHeight="1" x14ac:dyDescent="0.2">
      <c r="A30" s="235" t="s">
        <v>62</v>
      </c>
      <c r="B30" s="236"/>
      <c r="C30" s="236"/>
      <c r="D30" s="237"/>
      <c r="E30" s="193"/>
      <c r="F30" s="100">
        <f t="shared" ref="F30:T30" si="5">F29/F38</f>
        <v>0.39190740740740737</v>
      </c>
      <c r="G30" s="101">
        <f t="shared" si="5"/>
        <v>0.2794311594202899</v>
      </c>
      <c r="H30" s="101">
        <f t="shared" si="5"/>
        <v>0.32906440382941698</v>
      </c>
      <c r="I30" s="101">
        <f t="shared" si="5"/>
        <v>0.32227291666666669</v>
      </c>
      <c r="J30" s="101">
        <f t="shared" si="5"/>
        <v>0.48011904761904761</v>
      </c>
      <c r="K30" s="101">
        <f t="shared" si="5"/>
        <v>0.33343749999999994</v>
      </c>
      <c r="L30" s="101">
        <f t="shared" si="5"/>
        <v>0.81858333333333333</v>
      </c>
      <c r="M30" s="101">
        <f t="shared" si="5"/>
        <v>0.32074074074074072</v>
      </c>
      <c r="N30" s="101">
        <f t="shared" si="5"/>
        <v>0.63471527777777792</v>
      </c>
      <c r="O30" s="101">
        <f t="shared" si="5"/>
        <v>0.20931194444444443</v>
      </c>
      <c r="P30" s="101">
        <f t="shared" si="5"/>
        <v>0.50978638888888894</v>
      </c>
      <c r="Q30" s="101">
        <f t="shared" si="5"/>
        <v>0.47526190476190472</v>
      </c>
      <c r="R30" s="101">
        <f t="shared" si="5"/>
        <v>0.57966666666666666</v>
      </c>
      <c r="S30" s="101">
        <f t="shared" si="5"/>
        <v>0.46839666666666679</v>
      </c>
      <c r="T30" s="101">
        <f t="shared" si="5"/>
        <v>0.39117592592592593</v>
      </c>
      <c r="U30" s="122"/>
      <c r="V30" s="120"/>
      <c r="W30" s="120"/>
      <c r="X30" s="120"/>
      <c r="Y30" s="117"/>
    </row>
    <row r="31" spans="1:25" s="1" customFormat="1" ht="11.25" hidden="1" customHeight="1" x14ac:dyDescent="0.2">
      <c r="A31" s="72" t="s">
        <v>72</v>
      </c>
      <c r="B31" s="192"/>
      <c r="C31" s="192"/>
      <c r="D31" s="193"/>
      <c r="E31" s="135">
        <f>90-E29</f>
        <v>0</v>
      </c>
      <c r="F31" s="102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22"/>
      <c r="V31" s="120"/>
      <c r="W31" s="120"/>
      <c r="X31" s="120"/>
    </row>
    <row r="32" spans="1:25" s="1" customFormat="1" ht="11.25" customHeight="1" x14ac:dyDescent="0.2">
      <c r="A32" s="255" t="s">
        <v>30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10"/>
      <c r="V32" s="23"/>
      <c r="W32" s="23"/>
      <c r="X32" s="23"/>
    </row>
    <row r="33" spans="1:24" s="107" customFormat="1" ht="12" customHeight="1" x14ac:dyDescent="0.2">
      <c r="A33" s="113"/>
      <c r="B33" s="238"/>
      <c r="C33" s="238"/>
      <c r="D33" s="109"/>
      <c r="E33" s="108"/>
      <c r="F33" s="108"/>
      <c r="G33" s="170"/>
      <c r="H33" s="170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</row>
    <row r="34" spans="1:24" s="107" customFormat="1" ht="13.5" customHeight="1" x14ac:dyDescent="0.2">
      <c r="A34" s="178"/>
      <c r="B34" s="230"/>
      <c r="C34" s="230"/>
      <c r="D34" s="115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</row>
    <row r="35" spans="1:24" s="1" customFormat="1" ht="11.25" customHeight="1" x14ac:dyDescent="0.2">
      <c r="A35" s="58" t="s">
        <v>31</v>
      </c>
      <c r="B35" s="59"/>
      <c r="C35" s="59"/>
      <c r="D35" s="62">
        <f t="shared" ref="D35:T35" si="6">SUM(D33:D34)</f>
        <v>0</v>
      </c>
      <c r="E35" s="132">
        <f t="shared" si="6"/>
        <v>0</v>
      </c>
      <c r="F35" s="132">
        <f t="shared" si="6"/>
        <v>0</v>
      </c>
      <c r="G35" s="132">
        <f t="shared" si="6"/>
        <v>0</v>
      </c>
      <c r="H35" s="132">
        <f t="shared" si="6"/>
        <v>0</v>
      </c>
      <c r="I35" s="132">
        <f t="shared" si="6"/>
        <v>0</v>
      </c>
      <c r="J35" s="132">
        <f t="shared" si="6"/>
        <v>0</v>
      </c>
      <c r="K35" s="132">
        <f t="shared" si="6"/>
        <v>0</v>
      </c>
      <c r="L35" s="132">
        <f t="shared" si="6"/>
        <v>0</v>
      </c>
      <c r="M35" s="132">
        <f t="shared" si="6"/>
        <v>0</v>
      </c>
      <c r="N35" s="132">
        <f t="shared" si="6"/>
        <v>0</v>
      </c>
      <c r="O35" s="132">
        <f t="shared" si="6"/>
        <v>0</v>
      </c>
      <c r="P35" s="132">
        <f t="shared" si="6"/>
        <v>0</v>
      </c>
      <c r="Q35" s="132">
        <f t="shared" si="6"/>
        <v>0</v>
      </c>
      <c r="R35" s="132">
        <f t="shared" si="6"/>
        <v>0</v>
      </c>
      <c r="S35" s="132">
        <f t="shared" si="6"/>
        <v>0</v>
      </c>
      <c r="T35" s="132">
        <f t="shared" si="6"/>
        <v>0</v>
      </c>
      <c r="U35" s="37"/>
      <c r="V35" s="120"/>
      <c r="W35" s="120"/>
      <c r="X35" s="120"/>
    </row>
    <row r="36" spans="1:24" s="1" customFormat="1" ht="11.25" customHeight="1" x14ac:dyDescent="0.2">
      <c r="A36" s="235" t="s">
        <v>62</v>
      </c>
      <c r="B36" s="236"/>
      <c r="C36" s="236"/>
      <c r="D36" s="237"/>
      <c r="E36" s="105"/>
      <c r="F36" s="134">
        <f>F35/F38</f>
        <v>0</v>
      </c>
      <c r="G36" s="101">
        <f t="shared" ref="G36:T36" si="7">G35/G38</f>
        <v>0</v>
      </c>
      <c r="H36" s="101">
        <f t="shared" si="7"/>
        <v>0</v>
      </c>
      <c r="I36" s="101">
        <f t="shared" si="7"/>
        <v>0</v>
      </c>
      <c r="J36" s="101">
        <f t="shared" si="7"/>
        <v>0</v>
      </c>
      <c r="K36" s="101">
        <f t="shared" si="7"/>
        <v>0</v>
      </c>
      <c r="L36" s="101">
        <f t="shared" si="7"/>
        <v>0</v>
      </c>
      <c r="M36" s="101">
        <f t="shared" si="7"/>
        <v>0</v>
      </c>
      <c r="N36" s="101">
        <f t="shared" si="7"/>
        <v>0</v>
      </c>
      <c r="O36" s="101">
        <f t="shared" si="7"/>
        <v>0</v>
      </c>
      <c r="P36" s="101">
        <f t="shared" si="7"/>
        <v>0</v>
      </c>
      <c r="Q36" s="101">
        <f t="shared" si="7"/>
        <v>0</v>
      </c>
      <c r="R36" s="101">
        <f t="shared" si="7"/>
        <v>0</v>
      </c>
      <c r="S36" s="101">
        <f t="shared" si="7"/>
        <v>0</v>
      </c>
      <c r="T36" s="101">
        <f t="shared" si="7"/>
        <v>0</v>
      </c>
      <c r="U36" s="122"/>
      <c r="V36" s="120"/>
      <c r="W36" s="120"/>
      <c r="X36" s="120"/>
    </row>
    <row r="37" spans="1:24" s="1" customFormat="1" ht="11.25" customHeight="1" x14ac:dyDescent="0.2">
      <c r="A37" s="235" t="s">
        <v>61</v>
      </c>
      <c r="B37" s="236"/>
      <c r="C37" s="236"/>
      <c r="D37" s="237"/>
      <c r="E37" s="193"/>
      <c r="F37" s="38">
        <f t="shared" ref="F37:T37" si="8">SUM(F18,F29,F35)</f>
        <v>52.883333333333326</v>
      </c>
      <c r="G37" s="37">
        <f t="shared" si="8"/>
        <v>50.501000000000005</v>
      </c>
      <c r="H37" s="37">
        <f t="shared" si="8"/>
        <v>232.06666666666672</v>
      </c>
      <c r="I37" s="37">
        <f t="shared" si="8"/>
        <v>1594.3690000000001</v>
      </c>
      <c r="J37" s="38">
        <f t="shared" si="8"/>
        <v>0.91883333333333328</v>
      </c>
      <c r="K37" s="38">
        <f t="shared" si="8"/>
        <v>0.87683333333333335</v>
      </c>
      <c r="L37" s="38">
        <f t="shared" si="8"/>
        <v>75.150499999999994</v>
      </c>
      <c r="M37" s="38">
        <f t="shared" si="8"/>
        <v>0.41216666666666663</v>
      </c>
      <c r="N37" s="38">
        <f t="shared" si="8"/>
        <v>10.554916666666667</v>
      </c>
      <c r="O37" s="38">
        <f t="shared" si="8"/>
        <v>685.05766666666659</v>
      </c>
      <c r="P37" s="37">
        <f t="shared" si="8"/>
        <v>1023.107</v>
      </c>
      <c r="Q37" s="39">
        <f t="shared" si="8"/>
        <v>7.7113333333333323</v>
      </c>
      <c r="R37" s="39">
        <f t="shared" si="8"/>
        <v>0.11130000000000001</v>
      </c>
      <c r="S37" s="38">
        <f t="shared" si="8"/>
        <v>235.75900000000001</v>
      </c>
      <c r="T37" s="38">
        <f t="shared" si="8"/>
        <v>12.3545</v>
      </c>
      <c r="U37" s="40"/>
      <c r="V37" s="120"/>
      <c r="W37" s="120"/>
      <c r="X37" s="120"/>
    </row>
    <row r="38" spans="1:24" s="1" customFormat="1" ht="11.25" customHeight="1" x14ac:dyDescent="0.2">
      <c r="A38" s="235" t="s">
        <v>63</v>
      </c>
      <c r="B38" s="236"/>
      <c r="C38" s="236"/>
      <c r="D38" s="237"/>
      <c r="E38" s="193"/>
      <c r="F38" s="126">
        <v>90</v>
      </c>
      <c r="G38" s="124">
        <v>92</v>
      </c>
      <c r="H38" s="124">
        <v>383</v>
      </c>
      <c r="I38" s="124">
        <v>2720</v>
      </c>
      <c r="J38" s="126">
        <v>1.4</v>
      </c>
      <c r="K38" s="126">
        <v>1.6</v>
      </c>
      <c r="L38" s="125">
        <v>70</v>
      </c>
      <c r="M38" s="126">
        <v>0.9</v>
      </c>
      <c r="N38" s="125">
        <v>12</v>
      </c>
      <c r="O38" s="125">
        <v>1200</v>
      </c>
      <c r="P38" s="125">
        <v>1200</v>
      </c>
      <c r="Q38" s="125">
        <v>14</v>
      </c>
      <c r="R38" s="124">
        <v>0.1</v>
      </c>
      <c r="S38" s="125">
        <v>300</v>
      </c>
      <c r="T38" s="126">
        <v>18</v>
      </c>
      <c r="U38" s="128"/>
      <c r="V38" s="129"/>
      <c r="W38" s="129"/>
      <c r="X38" s="129"/>
    </row>
    <row r="39" spans="1:24" s="1" customFormat="1" ht="11.25" customHeight="1" x14ac:dyDescent="0.2">
      <c r="A39" s="235" t="s">
        <v>62</v>
      </c>
      <c r="B39" s="236"/>
      <c r="C39" s="236"/>
      <c r="D39" s="237"/>
      <c r="E39" s="193"/>
      <c r="F39" s="66">
        <f t="shared" ref="F39:T39" si="9">F37/F38</f>
        <v>0.58759259259259256</v>
      </c>
      <c r="G39" s="101">
        <f t="shared" si="9"/>
        <v>0.54892391304347832</v>
      </c>
      <c r="H39" s="42">
        <f t="shared" si="9"/>
        <v>0.60591818973020029</v>
      </c>
      <c r="I39" s="42">
        <f t="shared" si="9"/>
        <v>0.58616507352941183</v>
      </c>
      <c r="J39" s="42">
        <f t="shared" si="9"/>
        <v>0.65630952380952379</v>
      </c>
      <c r="K39" s="42">
        <f t="shared" si="9"/>
        <v>0.54802083333333329</v>
      </c>
      <c r="L39" s="42">
        <f t="shared" si="9"/>
        <v>1.0735785714285713</v>
      </c>
      <c r="M39" s="43">
        <f t="shared" si="9"/>
        <v>0.45796296296296291</v>
      </c>
      <c r="N39" s="42">
        <f t="shared" si="9"/>
        <v>0.87957638888888889</v>
      </c>
      <c r="O39" s="42">
        <f t="shared" si="9"/>
        <v>0.57088138888888884</v>
      </c>
      <c r="P39" s="42">
        <f t="shared" si="9"/>
        <v>0.85258916666666662</v>
      </c>
      <c r="Q39" s="42">
        <f t="shared" si="9"/>
        <v>0.55080952380952375</v>
      </c>
      <c r="R39" s="42">
        <f>R37/R38</f>
        <v>1.113</v>
      </c>
      <c r="S39" s="42">
        <f t="shared" si="9"/>
        <v>0.78586333333333336</v>
      </c>
      <c r="T39" s="43">
        <f t="shared" si="9"/>
        <v>0.68636111111111109</v>
      </c>
      <c r="U39" s="44"/>
      <c r="V39" s="45"/>
      <c r="W39" s="45"/>
      <c r="X39" s="45"/>
    </row>
    <row r="40" spans="1:24" s="1" customFormat="1" ht="11.25" customHeight="1" x14ac:dyDescent="0.2">
      <c r="A40" s="51"/>
      <c r="B40" s="51"/>
      <c r="C40" s="185"/>
      <c r="D40" s="185"/>
      <c r="E40" s="185"/>
      <c r="F40" s="91"/>
      <c r="G40" s="118"/>
      <c r="H40" s="2"/>
      <c r="I40" s="2"/>
      <c r="J40" s="118"/>
      <c r="K40" s="118"/>
      <c r="L40" s="118"/>
      <c r="M40" s="206" t="s">
        <v>65</v>
      </c>
      <c r="N40" s="206"/>
      <c r="O40" s="206"/>
      <c r="P40" s="206"/>
      <c r="Q40" s="206"/>
      <c r="R40" s="206"/>
      <c r="S40" s="206"/>
      <c r="T40" s="206"/>
      <c r="U40" s="11"/>
      <c r="V40" s="18"/>
      <c r="W40" s="18"/>
      <c r="X40" s="18"/>
    </row>
    <row r="41" spans="1:24" s="1" customFormat="1" ht="11.25" customHeight="1" x14ac:dyDescent="0.2">
      <c r="A41" s="51"/>
      <c r="B41" s="51"/>
      <c r="C41" s="185"/>
      <c r="D41" s="185"/>
      <c r="E41" s="185"/>
      <c r="F41" s="91"/>
      <c r="G41" s="118"/>
      <c r="H41" s="2"/>
      <c r="I41" s="2"/>
      <c r="J41" s="118"/>
      <c r="K41" s="118"/>
      <c r="L41" s="118"/>
      <c r="M41" s="184"/>
      <c r="N41" s="184"/>
      <c r="O41" s="184"/>
      <c r="P41" s="184"/>
      <c r="Q41" s="184"/>
      <c r="R41" s="184"/>
      <c r="S41" s="184"/>
      <c r="T41" s="184"/>
      <c r="U41" s="11"/>
      <c r="V41" s="18"/>
      <c r="W41" s="18"/>
      <c r="X41" s="18"/>
    </row>
    <row r="42" spans="1:24" ht="11.25" customHeight="1" x14ac:dyDescent="0.2">
      <c r="A42" s="51"/>
      <c r="B42" s="51"/>
      <c r="C42" s="51"/>
      <c r="D42" s="118"/>
      <c r="E42" s="118"/>
      <c r="F42" s="119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3"/>
      <c r="V42" s="19"/>
      <c r="W42" s="19"/>
      <c r="X42" s="19"/>
    </row>
    <row r="43" spans="1:24" ht="29.25" customHeight="1" x14ac:dyDescent="0.2">
      <c r="A43" s="254" t="s">
        <v>67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13"/>
      <c r="V43" s="19"/>
      <c r="W43" s="19"/>
      <c r="X43" s="19"/>
    </row>
    <row r="44" spans="1:24" ht="29.25" customHeight="1" x14ac:dyDescent="0.2">
      <c r="A44" s="52"/>
      <c r="B44" s="52"/>
      <c r="C44" s="52"/>
      <c r="D44" s="3"/>
      <c r="E44" s="3"/>
      <c r="F44" s="92"/>
      <c r="G44" s="3"/>
      <c r="H44" s="5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6"/>
      <c r="V44" s="19"/>
      <c r="W44" s="19"/>
      <c r="X44" s="19"/>
    </row>
    <row r="45" spans="1:24" s="84" customFormat="1" ht="13.5" customHeight="1" x14ac:dyDescent="0.2">
      <c r="A45" s="85"/>
      <c r="B45" s="85"/>
      <c r="C45" s="85"/>
      <c r="D45" s="85"/>
      <c r="E45" s="85"/>
      <c r="F45" s="93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6"/>
      <c r="W45" s="83"/>
      <c r="X45" s="83"/>
    </row>
  </sheetData>
  <autoFilter ref="B1:B45"/>
  <mergeCells count="54">
    <mergeCell ref="N5:T5"/>
    <mergeCell ref="M1:T1"/>
    <mergeCell ref="U1:U5"/>
    <mergeCell ref="V1:V5"/>
    <mergeCell ref="X1:X5"/>
    <mergeCell ref="A2:T2"/>
    <mergeCell ref="G4:I4"/>
    <mergeCell ref="L4:M4"/>
    <mergeCell ref="N4:Q4"/>
    <mergeCell ref="D5:F5"/>
    <mergeCell ref="L5:M5"/>
    <mergeCell ref="A6:T6"/>
    <mergeCell ref="G7:I7"/>
    <mergeCell ref="L7:M7"/>
    <mergeCell ref="N7:Q7"/>
    <mergeCell ref="D8:F8"/>
    <mergeCell ref="L8:M8"/>
    <mergeCell ref="N8:T8"/>
    <mergeCell ref="A19:D19"/>
    <mergeCell ref="O9:T9"/>
    <mergeCell ref="B11:C11"/>
    <mergeCell ref="A12:T12"/>
    <mergeCell ref="B13:C13"/>
    <mergeCell ref="B14:C14"/>
    <mergeCell ref="B15:C15"/>
    <mergeCell ref="A9:A10"/>
    <mergeCell ref="B9:C10"/>
    <mergeCell ref="D9:D10"/>
    <mergeCell ref="F9:H9"/>
    <mergeCell ref="I9:I10"/>
    <mergeCell ref="J9:N9"/>
    <mergeCell ref="V15:V17"/>
    <mergeCell ref="W15:W17"/>
    <mergeCell ref="X15:X17"/>
    <mergeCell ref="B16:C16"/>
    <mergeCell ref="B17:C17"/>
    <mergeCell ref="B34:C34"/>
    <mergeCell ref="A21:T21"/>
    <mergeCell ref="B22:C22"/>
    <mergeCell ref="B23:C23"/>
    <mergeCell ref="B24:C24"/>
    <mergeCell ref="B25:C25"/>
    <mergeCell ref="B26:C26"/>
    <mergeCell ref="B27:C27"/>
    <mergeCell ref="B28:C28"/>
    <mergeCell ref="A30:D30"/>
    <mergeCell ref="A32:T32"/>
    <mergeCell ref="B33:C33"/>
    <mergeCell ref="M40:T40"/>
    <mergeCell ref="A43:T43"/>
    <mergeCell ref="A36:D36"/>
    <mergeCell ref="A37:D37"/>
    <mergeCell ref="A38:D38"/>
    <mergeCell ref="A39:D39"/>
  </mergeCells>
  <pageMargins left="0.7" right="0.7" top="0.75" bottom="0.75" header="0.3" footer="0.3"/>
  <pageSetup paperSize="9" scale="79" orientation="landscape" r:id="rId1"/>
  <rowBreaks count="2" manualBreakCount="2">
    <brk id="5" max="19" man="1"/>
    <brk id="39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X48"/>
  <sheetViews>
    <sheetView view="pageBreakPreview" topLeftCell="A7" zoomScale="80" zoomScaleNormal="80" zoomScaleSheetLayoutView="80" workbookViewId="0">
      <selection activeCell="I43" sqref="I43"/>
    </sheetView>
  </sheetViews>
  <sheetFormatPr defaultRowHeight="11.25" x14ac:dyDescent="0.2"/>
  <cols>
    <col min="1" max="1" width="9.5" style="53" customWidth="1"/>
    <col min="2" max="2" width="16.33203125" style="53" customWidth="1"/>
    <col min="3" max="3" width="25.1640625" style="53" customWidth="1"/>
    <col min="4" max="4" width="8" style="4" customWidth="1"/>
    <col min="5" max="5" width="9.6640625" style="4" customWidth="1"/>
    <col min="6" max="6" width="9.83203125" style="94" customWidth="1"/>
    <col min="7" max="7" width="9.6640625" style="4" customWidth="1"/>
    <col min="8" max="8" width="8.5" style="4" customWidth="1"/>
    <col min="9" max="9" width="10" style="4" customWidth="1"/>
    <col min="10" max="10" width="9" style="4" customWidth="1"/>
    <col min="11" max="11" width="9.83203125" style="4" customWidth="1"/>
    <col min="12" max="12" width="8.83203125" style="4" customWidth="1"/>
    <col min="13" max="13" width="10.33203125" style="4" customWidth="1"/>
    <col min="14" max="14" width="9.5" style="4" customWidth="1"/>
    <col min="15" max="15" width="9.33203125" style="4" customWidth="1"/>
    <col min="16" max="17" width="9.1640625" style="4" customWidth="1"/>
    <col min="18" max="18" width="9" style="4" customWidth="1"/>
    <col min="19" max="19" width="9.5" style="4" customWidth="1"/>
    <col min="20" max="20" width="8.6640625" style="4" customWidth="1"/>
    <col min="21" max="21" width="9.1640625" style="17" customWidth="1"/>
    <col min="22" max="23" width="9.1640625" style="26" customWidth="1"/>
    <col min="24" max="24" width="11.6640625" style="26" customWidth="1"/>
  </cols>
  <sheetData>
    <row r="1" spans="1:24" s="1" customFormat="1" ht="11.25" customHeight="1" x14ac:dyDescent="0.2">
      <c r="A1" s="54"/>
      <c r="B1" s="51"/>
      <c r="C1" s="51"/>
      <c r="D1" s="118"/>
      <c r="E1" s="118"/>
      <c r="F1" s="119"/>
      <c r="G1" s="118"/>
      <c r="H1" s="118"/>
      <c r="I1" s="118"/>
      <c r="J1" s="118"/>
      <c r="K1" s="118"/>
      <c r="L1" s="2"/>
      <c r="M1" s="206" t="s">
        <v>65</v>
      </c>
      <c r="N1" s="206"/>
      <c r="O1" s="206"/>
      <c r="P1" s="206"/>
      <c r="Q1" s="206"/>
      <c r="R1" s="206"/>
      <c r="S1" s="206"/>
      <c r="T1" s="206"/>
      <c r="U1" s="213"/>
      <c r="V1" s="202"/>
      <c r="W1" s="194"/>
      <c r="X1" s="202"/>
    </row>
    <row r="2" spans="1:24" s="1" customFormat="1" ht="15.75" customHeight="1" x14ac:dyDescent="0.25">
      <c r="A2" s="207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14"/>
      <c r="V2" s="202"/>
      <c r="W2" s="194"/>
      <c r="X2" s="202"/>
    </row>
    <row r="3" spans="1:24" s="1" customFormat="1" ht="15.75" customHeight="1" x14ac:dyDescent="0.25">
      <c r="A3" s="195"/>
      <c r="B3" s="195"/>
      <c r="C3" s="195"/>
      <c r="D3" s="195"/>
      <c r="E3" s="195"/>
      <c r="F3" s="195"/>
      <c r="G3" s="195"/>
      <c r="H3" s="195" t="s">
        <v>119</v>
      </c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214"/>
      <c r="V3" s="202"/>
      <c r="W3" s="194"/>
      <c r="X3" s="202"/>
    </row>
    <row r="4" spans="1:24" s="1" customFormat="1" ht="11.25" customHeight="1" x14ac:dyDescent="0.2">
      <c r="A4" s="55" t="s">
        <v>55</v>
      </c>
      <c r="B4" s="51"/>
      <c r="C4" s="51"/>
      <c r="D4" s="2"/>
      <c r="E4" s="2"/>
      <c r="F4" s="119"/>
      <c r="G4" s="208" t="s">
        <v>1</v>
      </c>
      <c r="H4" s="208"/>
      <c r="I4" s="208"/>
      <c r="J4" s="118"/>
      <c r="K4" s="118"/>
      <c r="L4" s="201" t="s">
        <v>2</v>
      </c>
      <c r="M4" s="201"/>
      <c r="N4" s="240"/>
      <c r="O4" s="240"/>
      <c r="P4" s="240"/>
      <c r="Q4" s="240"/>
      <c r="R4" s="118"/>
      <c r="S4" s="118"/>
      <c r="T4" s="118"/>
      <c r="U4" s="214"/>
      <c r="V4" s="202"/>
      <c r="W4" s="194"/>
      <c r="X4" s="202"/>
    </row>
    <row r="5" spans="1:24" s="1" customFormat="1" ht="11.25" customHeight="1" x14ac:dyDescent="0.2">
      <c r="A5" s="51"/>
      <c r="B5" s="51"/>
      <c r="C5" s="51"/>
      <c r="D5" s="201" t="s">
        <v>3</v>
      </c>
      <c r="E5" s="201"/>
      <c r="F5" s="201"/>
      <c r="G5" s="6">
        <v>1</v>
      </c>
      <c r="H5" s="118"/>
      <c r="I5" s="2"/>
      <c r="J5" s="2"/>
      <c r="K5" s="2"/>
      <c r="L5" s="201" t="s">
        <v>4</v>
      </c>
      <c r="M5" s="201"/>
      <c r="N5" s="208" t="s">
        <v>118</v>
      </c>
      <c r="O5" s="208"/>
      <c r="P5" s="208"/>
      <c r="Q5" s="208"/>
      <c r="R5" s="208"/>
      <c r="S5" s="208"/>
      <c r="T5" s="208"/>
      <c r="U5" s="215"/>
      <c r="V5" s="216"/>
      <c r="W5" s="194"/>
      <c r="X5" s="202"/>
    </row>
    <row r="6" spans="1:24" s="1" customFormat="1" ht="11.25" customHeight="1" x14ac:dyDescent="0.2">
      <c r="A6" s="51"/>
      <c r="B6" s="51"/>
      <c r="C6" s="185"/>
      <c r="D6" s="185"/>
      <c r="E6" s="185"/>
      <c r="F6" s="91"/>
      <c r="G6" s="118"/>
      <c r="H6" s="2"/>
      <c r="I6" s="2"/>
      <c r="J6" s="118"/>
      <c r="K6" s="118"/>
      <c r="L6" s="118"/>
      <c r="M6" s="206" t="s">
        <v>65</v>
      </c>
      <c r="N6" s="206"/>
      <c r="O6" s="206"/>
      <c r="P6" s="206"/>
      <c r="Q6" s="206"/>
      <c r="R6" s="206"/>
      <c r="S6" s="206"/>
      <c r="T6" s="206"/>
      <c r="U6" s="11"/>
      <c r="V6" s="18"/>
      <c r="W6" s="18"/>
      <c r="X6" s="18"/>
    </row>
    <row r="7" spans="1:24" s="1" customFormat="1" ht="11.25" customHeight="1" x14ac:dyDescent="0.2">
      <c r="A7" s="51"/>
      <c r="B7" s="51"/>
      <c r="C7" s="185"/>
      <c r="D7" s="185"/>
      <c r="E7" s="185"/>
      <c r="F7" s="91"/>
      <c r="G7" s="118"/>
      <c r="H7" s="2"/>
      <c r="I7" s="2"/>
      <c r="J7" s="118"/>
      <c r="K7" s="118"/>
      <c r="L7" s="118"/>
      <c r="M7" s="184"/>
      <c r="N7" s="184"/>
      <c r="O7" s="184"/>
      <c r="P7" s="184"/>
      <c r="Q7" s="184"/>
      <c r="R7" s="184"/>
      <c r="S7" s="184"/>
      <c r="T7" s="184"/>
      <c r="U7" s="11"/>
      <c r="V7" s="18"/>
      <c r="W7" s="18"/>
      <c r="X7" s="18"/>
    </row>
    <row r="8" spans="1:24" s="1" customFormat="1" ht="11.25" customHeight="1" x14ac:dyDescent="0.2">
      <c r="A8" s="249" t="s">
        <v>38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12"/>
      <c r="V8" s="24"/>
      <c r="W8" s="24"/>
      <c r="X8" s="24"/>
    </row>
    <row r="9" spans="1:24" s="1" customFormat="1" ht="11.25" customHeight="1" x14ac:dyDescent="0.2">
      <c r="A9" s="55" t="s">
        <v>55</v>
      </c>
      <c r="B9" s="51"/>
      <c r="C9" s="51"/>
      <c r="D9" s="2"/>
      <c r="E9" s="2"/>
      <c r="F9" s="119"/>
      <c r="G9" s="208" t="s">
        <v>39</v>
      </c>
      <c r="H9" s="208"/>
      <c r="I9" s="208"/>
      <c r="J9" s="118"/>
      <c r="K9" s="118"/>
      <c r="L9" s="201" t="s">
        <v>2</v>
      </c>
      <c r="M9" s="201"/>
      <c r="N9" s="240"/>
      <c r="O9" s="240"/>
      <c r="P9" s="240"/>
      <c r="Q9" s="240"/>
      <c r="R9" s="118"/>
      <c r="S9" s="118"/>
      <c r="T9" s="118"/>
      <c r="U9" s="13"/>
      <c r="V9" s="19"/>
      <c r="W9" s="19"/>
      <c r="X9" s="19"/>
    </row>
    <row r="10" spans="1:24" s="1" customFormat="1" ht="11.25" customHeight="1" x14ac:dyDescent="0.2">
      <c r="A10" s="51"/>
      <c r="B10" s="51"/>
      <c r="C10" s="51"/>
      <c r="D10" s="253" t="s">
        <v>3</v>
      </c>
      <c r="E10" s="253"/>
      <c r="F10" s="253"/>
      <c r="G10" s="6">
        <v>1</v>
      </c>
      <c r="H10" s="118"/>
      <c r="I10" s="2"/>
      <c r="J10" s="2"/>
      <c r="K10" s="2"/>
      <c r="L10" s="253" t="s">
        <v>4</v>
      </c>
      <c r="M10" s="253"/>
      <c r="N10" s="208" t="s">
        <v>118</v>
      </c>
      <c r="O10" s="208"/>
      <c r="P10" s="208"/>
      <c r="Q10" s="208"/>
      <c r="R10" s="208"/>
      <c r="S10" s="208"/>
      <c r="T10" s="208"/>
      <c r="U10" s="14"/>
      <c r="V10" s="20"/>
      <c r="W10" s="20"/>
      <c r="X10" s="20"/>
    </row>
    <row r="11" spans="1:24" s="1" customFormat="1" ht="21.75" customHeight="1" x14ac:dyDescent="0.2">
      <c r="A11" s="217" t="s">
        <v>5</v>
      </c>
      <c r="B11" s="209" t="s">
        <v>6</v>
      </c>
      <c r="C11" s="210"/>
      <c r="D11" s="217" t="s">
        <v>7</v>
      </c>
      <c r="E11" s="196"/>
      <c r="F11" s="203" t="s">
        <v>8</v>
      </c>
      <c r="G11" s="204"/>
      <c r="H11" s="205"/>
      <c r="I11" s="217" t="s">
        <v>9</v>
      </c>
      <c r="J11" s="203" t="s">
        <v>10</v>
      </c>
      <c r="K11" s="204"/>
      <c r="L11" s="204"/>
      <c r="M11" s="204"/>
      <c r="N11" s="205"/>
      <c r="O11" s="203" t="s">
        <v>11</v>
      </c>
      <c r="P11" s="204"/>
      <c r="Q11" s="204"/>
      <c r="R11" s="204"/>
      <c r="S11" s="204"/>
      <c r="T11" s="205"/>
      <c r="U11" s="8"/>
      <c r="V11" s="21"/>
      <c r="W11" s="21"/>
      <c r="X11" s="21"/>
    </row>
    <row r="12" spans="1:24" s="1" customFormat="1" ht="21" customHeight="1" x14ac:dyDescent="0.2">
      <c r="A12" s="218"/>
      <c r="B12" s="211"/>
      <c r="C12" s="212"/>
      <c r="D12" s="218"/>
      <c r="E12" s="190">
        <v>5</v>
      </c>
      <c r="F12" s="89" t="s">
        <v>12</v>
      </c>
      <c r="G12" s="197" t="s">
        <v>13</v>
      </c>
      <c r="H12" s="197" t="s">
        <v>14</v>
      </c>
      <c r="I12" s="218"/>
      <c r="J12" s="197" t="s">
        <v>15</v>
      </c>
      <c r="K12" s="197" t="s">
        <v>57</v>
      </c>
      <c r="L12" s="197" t="s">
        <v>16</v>
      </c>
      <c r="M12" s="197" t="s">
        <v>17</v>
      </c>
      <c r="N12" s="197" t="s">
        <v>18</v>
      </c>
      <c r="O12" s="197" t="s">
        <v>19</v>
      </c>
      <c r="P12" s="197" t="s">
        <v>20</v>
      </c>
      <c r="Q12" s="197" t="s">
        <v>58</v>
      </c>
      <c r="R12" s="197" t="s">
        <v>59</v>
      </c>
      <c r="S12" s="197" t="s">
        <v>21</v>
      </c>
      <c r="T12" s="197" t="s">
        <v>22</v>
      </c>
      <c r="U12" s="8"/>
      <c r="V12" s="21"/>
      <c r="W12" s="21"/>
      <c r="X12" s="21"/>
    </row>
    <row r="13" spans="1:24" s="1" customFormat="1" ht="11.25" customHeight="1" x14ac:dyDescent="0.2">
      <c r="A13" s="198">
        <v>1</v>
      </c>
      <c r="B13" s="233">
        <v>2</v>
      </c>
      <c r="C13" s="234"/>
      <c r="D13" s="36">
        <v>3</v>
      </c>
      <c r="E13" s="36"/>
      <c r="F13" s="90">
        <v>4</v>
      </c>
      <c r="G13" s="36">
        <v>5</v>
      </c>
      <c r="H13" s="36">
        <v>6</v>
      </c>
      <c r="I13" s="36">
        <v>7</v>
      </c>
      <c r="J13" s="36">
        <v>8</v>
      </c>
      <c r="K13" s="36">
        <v>9</v>
      </c>
      <c r="L13" s="36">
        <v>10</v>
      </c>
      <c r="M13" s="36">
        <v>11</v>
      </c>
      <c r="N13" s="36">
        <v>12</v>
      </c>
      <c r="O13" s="36">
        <v>13</v>
      </c>
      <c r="P13" s="36">
        <v>14</v>
      </c>
      <c r="Q13" s="36">
        <v>15</v>
      </c>
      <c r="R13" s="36">
        <v>16</v>
      </c>
      <c r="S13" s="36">
        <v>17</v>
      </c>
      <c r="T13" s="36">
        <v>18</v>
      </c>
      <c r="U13" s="9"/>
      <c r="V13" s="22"/>
      <c r="W13" s="22"/>
      <c r="X13" s="22"/>
    </row>
    <row r="14" spans="1:24" s="1" customFormat="1" ht="11.25" customHeight="1" x14ac:dyDescent="0.2">
      <c r="A14" s="227" t="s">
        <v>26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9"/>
      <c r="U14" s="10"/>
      <c r="V14" s="23"/>
      <c r="W14" s="23"/>
      <c r="X14" s="23"/>
    </row>
    <row r="15" spans="1:24" s="1" customFormat="1" ht="11.25" customHeight="1" x14ac:dyDescent="0.2">
      <c r="A15" s="71">
        <v>131</v>
      </c>
      <c r="B15" s="231" t="s">
        <v>77</v>
      </c>
      <c r="C15" s="232"/>
      <c r="D15" s="167">
        <v>30</v>
      </c>
      <c r="E15" s="126">
        <v>6.45</v>
      </c>
      <c r="F15" s="76">
        <f>4.6*D15/20</f>
        <v>6.9</v>
      </c>
      <c r="G15" s="77">
        <f>0.24*D15/20</f>
        <v>0.36</v>
      </c>
      <c r="H15" s="76">
        <f>10.66*D15/20</f>
        <v>15.99</v>
      </c>
      <c r="I15" s="76">
        <f t="shared" ref="I15:I20" si="0">F15*4+G15*9+H15*4</f>
        <v>94.8</v>
      </c>
      <c r="J15" s="77">
        <f>0.16*D15/20</f>
        <v>0.24</v>
      </c>
      <c r="K15" s="77">
        <f>0.04*D15/20</f>
        <v>0.06</v>
      </c>
      <c r="L15" s="75">
        <v>0</v>
      </c>
      <c r="M15" s="95">
        <f>0.002*D15/20</f>
        <v>3.0000000000000001E-3</v>
      </c>
      <c r="N15" s="77">
        <f>1.82*D15/20</f>
        <v>2.73</v>
      </c>
      <c r="O15" s="78">
        <f>23*D15/20</f>
        <v>34.5</v>
      </c>
      <c r="P15" s="78">
        <f>65.8*D15/20</f>
        <v>98.7</v>
      </c>
      <c r="Q15" s="76">
        <f>0.64*D15/20</f>
        <v>0.96</v>
      </c>
      <c r="R15" s="95">
        <f>0.00102*D15/20</f>
        <v>1.5300000000000001E-3</v>
      </c>
      <c r="S15" s="78">
        <f>21.4*D15/20</f>
        <v>32.1</v>
      </c>
      <c r="T15" s="95">
        <f>0.004*D15/20</f>
        <v>6.0000000000000001E-3</v>
      </c>
      <c r="U15" s="10"/>
      <c r="V15" s="23"/>
      <c r="W15" s="23"/>
      <c r="X15" s="23"/>
    </row>
    <row r="16" spans="1:24" s="118" customFormat="1" ht="11.25" customHeight="1" x14ac:dyDescent="0.2">
      <c r="A16" s="99">
        <v>15</v>
      </c>
      <c r="B16" s="231" t="s">
        <v>74</v>
      </c>
      <c r="C16" s="232"/>
      <c r="D16" s="125">
        <v>20</v>
      </c>
      <c r="E16" s="126">
        <v>12.8</v>
      </c>
      <c r="F16" s="126">
        <f>2.32*D16/10</f>
        <v>4.6399999999999997</v>
      </c>
      <c r="G16" s="126">
        <f>3.4*D16/10</f>
        <v>6.8</v>
      </c>
      <c r="H16" s="126">
        <f>0.01*D16/10</f>
        <v>0.02</v>
      </c>
      <c r="I16" s="126">
        <f t="shared" si="0"/>
        <v>79.839999999999989</v>
      </c>
      <c r="J16" s="126">
        <f>0.004*D16/10</f>
        <v>8.0000000000000002E-3</v>
      </c>
      <c r="K16" s="126">
        <f>0.03*D16/10</f>
        <v>0.06</v>
      </c>
      <c r="L16" s="126">
        <f>0.07*D16/10</f>
        <v>0.14000000000000001</v>
      </c>
      <c r="M16" s="127">
        <f>0.023*D16/10</f>
        <v>4.5999999999999999E-2</v>
      </c>
      <c r="N16" s="126">
        <f>0.05*D16/10</f>
        <v>0.1</v>
      </c>
      <c r="O16" s="126">
        <f>88*D16/10</f>
        <v>176</v>
      </c>
      <c r="P16" s="126">
        <f>50*D16/10</f>
        <v>100</v>
      </c>
      <c r="Q16" s="126">
        <f>0.4*D16/10</f>
        <v>0.8</v>
      </c>
      <c r="R16" s="127">
        <f>0.02*D16/10</f>
        <v>0.04</v>
      </c>
      <c r="S16" s="126">
        <f>3.5*D16/10</f>
        <v>7</v>
      </c>
      <c r="T16" s="126">
        <f>0.13*D16/10</f>
        <v>0.26</v>
      </c>
      <c r="U16" s="128"/>
      <c r="V16" s="129"/>
      <c r="W16" s="129"/>
      <c r="X16" s="129"/>
    </row>
    <row r="17" spans="1:24" s="118" customFormat="1" ht="13.5" customHeight="1" x14ac:dyDescent="0.2">
      <c r="A17" s="198">
        <v>210</v>
      </c>
      <c r="B17" s="231" t="s">
        <v>48</v>
      </c>
      <c r="C17" s="232"/>
      <c r="D17" s="125">
        <v>150</v>
      </c>
      <c r="E17" s="126">
        <v>31.45</v>
      </c>
      <c r="F17" s="126">
        <f>16.29*D17/200</f>
        <v>12.217499999999999</v>
      </c>
      <c r="G17" s="126">
        <f>18.99*D17/200</f>
        <v>14.242499999999998</v>
      </c>
      <c r="H17" s="126">
        <f>5.04*D17/200</f>
        <v>3.78</v>
      </c>
      <c r="I17" s="126">
        <f t="shared" si="0"/>
        <v>192.17249999999999</v>
      </c>
      <c r="J17" s="126">
        <f>0.117*D17/200</f>
        <v>8.7750000000000009E-2</v>
      </c>
      <c r="K17" s="126">
        <f>0.27*D17/200</f>
        <v>0.20250000000000001</v>
      </c>
      <c r="L17" s="126">
        <f>0.324*D17/200</f>
        <v>0.24299999999999999</v>
      </c>
      <c r="M17" s="126">
        <f>0.036*D17/200</f>
        <v>2.6999999999999996E-2</v>
      </c>
      <c r="N17" s="123">
        <f>1.94*D17/200</f>
        <v>1.4550000000000001</v>
      </c>
      <c r="O17" s="126">
        <f>131.38*D17/200</f>
        <v>98.534999999999997</v>
      </c>
      <c r="P17" s="126">
        <f>248.5*D17/200</f>
        <v>186.375</v>
      </c>
      <c r="Q17" s="126">
        <f>1.35*D17/200</f>
        <v>1.0125</v>
      </c>
      <c r="R17" s="126">
        <f>0.03*D17/200</f>
        <v>2.2499999999999999E-2</v>
      </c>
      <c r="S17" s="126">
        <f>21.55*D17/200</f>
        <v>16.162500000000001</v>
      </c>
      <c r="T17" s="126">
        <f>1.51*D17/200</f>
        <v>1.1325000000000001</v>
      </c>
      <c r="U17" s="128"/>
      <c r="V17" s="129"/>
      <c r="W17" s="129"/>
      <c r="X17" s="129"/>
    </row>
    <row r="18" spans="1:24" s="118" customFormat="1" x14ac:dyDescent="0.2">
      <c r="A18" s="99">
        <v>338</v>
      </c>
      <c r="B18" s="219" t="s">
        <v>106</v>
      </c>
      <c r="C18" s="219"/>
      <c r="D18" s="125">
        <v>100</v>
      </c>
      <c r="E18" s="126">
        <v>12.59</v>
      </c>
      <c r="F18" s="126">
        <v>0.4</v>
      </c>
      <c r="G18" s="123">
        <v>0.4</v>
      </c>
      <c r="H18" s="124">
        <v>9.8000000000000007</v>
      </c>
      <c r="I18" s="124">
        <f t="shared" si="0"/>
        <v>44.400000000000006</v>
      </c>
      <c r="J18" s="126">
        <v>0.04</v>
      </c>
      <c r="K18" s="126">
        <v>0.02</v>
      </c>
      <c r="L18" s="125">
        <v>10</v>
      </c>
      <c r="M18" s="125">
        <v>0.02</v>
      </c>
      <c r="N18" s="126">
        <v>0.2</v>
      </c>
      <c r="O18" s="126">
        <v>16</v>
      </c>
      <c r="P18" s="126">
        <v>11</v>
      </c>
      <c r="Q18" s="125">
        <v>0.03</v>
      </c>
      <c r="R18" s="125">
        <v>2E-3</v>
      </c>
      <c r="S18" s="126">
        <v>9</v>
      </c>
      <c r="T18" s="126">
        <v>2.2000000000000002</v>
      </c>
      <c r="U18" s="128"/>
      <c r="V18" s="129"/>
      <c r="W18" s="129"/>
      <c r="X18" s="129"/>
    </row>
    <row r="19" spans="1:24" s="118" customFormat="1" ht="12.75" customHeight="1" x14ac:dyDescent="0.2">
      <c r="A19" s="198">
        <v>377</v>
      </c>
      <c r="B19" s="219" t="s">
        <v>45</v>
      </c>
      <c r="C19" s="219"/>
      <c r="D19" s="125">
        <v>200</v>
      </c>
      <c r="E19" s="126">
        <v>3.61</v>
      </c>
      <c r="F19" s="126">
        <v>0.26</v>
      </c>
      <c r="G19" s="126">
        <v>0.06</v>
      </c>
      <c r="H19" s="126">
        <v>15.22</v>
      </c>
      <c r="I19" s="126">
        <f t="shared" si="0"/>
        <v>62.46</v>
      </c>
      <c r="J19" s="126"/>
      <c r="K19" s="126">
        <v>0.01</v>
      </c>
      <c r="L19" s="126">
        <v>2.9</v>
      </c>
      <c r="M19" s="123">
        <v>0</v>
      </c>
      <c r="N19" s="126">
        <v>0.06</v>
      </c>
      <c r="O19" s="126">
        <v>8.0500000000000007</v>
      </c>
      <c r="P19" s="126">
        <v>9.7799999999999994</v>
      </c>
      <c r="Q19" s="126">
        <v>1.7000000000000001E-2</v>
      </c>
      <c r="R19" s="127">
        <v>0</v>
      </c>
      <c r="S19" s="126">
        <v>5.24</v>
      </c>
      <c r="T19" s="126">
        <v>0.87</v>
      </c>
      <c r="U19" s="128"/>
      <c r="V19" s="129"/>
      <c r="W19" s="129"/>
      <c r="X19" s="129"/>
    </row>
    <row r="20" spans="1:24" s="118" customFormat="1" ht="12.75" customHeight="1" x14ac:dyDescent="0.2">
      <c r="A20" s="131" t="s">
        <v>66</v>
      </c>
      <c r="B20" s="231" t="s">
        <v>53</v>
      </c>
      <c r="C20" s="232"/>
      <c r="D20" s="125">
        <v>40</v>
      </c>
      <c r="E20" s="126">
        <v>3.1</v>
      </c>
      <c r="F20" s="126">
        <f>1.52*D20/30</f>
        <v>2.0266666666666664</v>
      </c>
      <c r="G20" s="127">
        <f>0.16*D20/30</f>
        <v>0.21333333333333335</v>
      </c>
      <c r="H20" s="127">
        <f>9.84*D20/30</f>
        <v>13.120000000000001</v>
      </c>
      <c r="I20" s="127">
        <f t="shared" si="0"/>
        <v>62.506666666666668</v>
      </c>
      <c r="J20" s="127">
        <f>0.02*D20/30</f>
        <v>2.6666666666666668E-2</v>
      </c>
      <c r="K20" s="127">
        <f>0.01*D20/30</f>
        <v>1.3333333333333334E-2</v>
      </c>
      <c r="L20" s="127">
        <f>0.44*D20/30</f>
        <v>0.58666666666666667</v>
      </c>
      <c r="M20" s="127">
        <v>0</v>
      </c>
      <c r="N20" s="127">
        <f>0.7*D20/30</f>
        <v>0.93333333333333335</v>
      </c>
      <c r="O20" s="127">
        <f>4*D20/30</f>
        <v>5.333333333333333</v>
      </c>
      <c r="P20" s="127">
        <f>13*D20/30</f>
        <v>17.333333333333332</v>
      </c>
      <c r="Q20" s="127">
        <f>0.008*D20/30</f>
        <v>1.0666666666666666E-2</v>
      </c>
      <c r="R20" s="127">
        <f>0.001*D20/30</f>
        <v>1.3333333333333333E-3</v>
      </c>
      <c r="S20" s="127">
        <v>0</v>
      </c>
      <c r="T20" s="127">
        <f>0.22*D20/30</f>
        <v>0.29333333333333333</v>
      </c>
      <c r="U20" s="128"/>
      <c r="V20" s="129"/>
      <c r="W20" s="129"/>
      <c r="X20" s="129"/>
    </row>
    <row r="21" spans="1:24" s="118" customFormat="1" ht="11.25" customHeight="1" x14ac:dyDescent="0.2">
      <c r="A21" s="58" t="s">
        <v>27</v>
      </c>
      <c r="B21" s="59"/>
      <c r="C21" s="59"/>
      <c r="D21" s="62">
        <f>SUM(D15:D20)</f>
        <v>540</v>
      </c>
      <c r="E21" s="132">
        <f>SUM(E15:E20)</f>
        <v>70</v>
      </c>
      <c r="F21" s="38">
        <f>SUM(F15:F20)</f>
        <v>26.444166666666668</v>
      </c>
      <c r="G21" s="38">
        <f t="shared" ref="G21:T21" si="1">SUM(G15:G20)</f>
        <v>22.075833333333328</v>
      </c>
      <c r="H21" s="38">
        <f t="shared" si="1"/>
        <v>57.930000000000007</v>
      </c>
      <c r="I21" s="38">
        <f t="shared" si="1"/>
        <v>536.17916666666667</v>
      </c>
      <c r="J21" s="38">
        <f t="shared" si="1"/>
        <v>0.40241666666666664</v>
      </c>
      <c r="K21" s="38">
        <f t="shared" si="1"/>
        <v>0.36583333333333334</v>
      </c>
      <c r="L21" s="38">
        <f t="shared" si="1"/>
        <v>13.869666666666665</v>
      </c>
      <c r="M21" s="38">
        <f t="shared" si="1"/>
        <v>9.6000000000000002E-2</v>
      </c>
      <c r="N21" s="38">
        <f t="shared" si="1"/>
        <v>5.4783333333333335</v>
      </c>
      <c r="O21" s="38">
        <f t="shared" si="1"/>
        <v>338.41833333333329</v>
      </c>
      <c r="P21" s="38">
        <f t="shared" si="1"/>
        <v>423.18833333333328</v>
      </c>
      <c r="Q21" s="38">
        <f t="shared" si="1"/>
        <v>2.8301666666666665</v>
      </c>
      <c r="R21" s="38">
        <f t="shared" si="1"/>
        <v>6.7363333333333344E-2</v>
      </c>
      <c r="S21" s="38">
        <f t="shared" si="1"/>
        <v>69.502499999999998</v>
      </c>
      <c r="T21" s="38">
        <f t="shared" si="1"/>
        <v>4.7618333333333336</v>
      </c>
      <c r="U21" s="37"/>
      <c r="V21" s="120"/>
      <c r="W21" s="120"/>
      <c r="X21" s="120"/>
    </row>
    <row r="22" spans="1:24" s="118" customFormat="1" ht="11.25" customHeight="1" x14ac:dyDescent="0.2">
      <c r="A22" s="220" t="s">
        <v>62</v>
      </c>
      <c r="B22" s="221"/>
      <c r="C22" s="221"/>
      <c r="D22" s="222"/>
      <c r="E22" s="187"/>
      <c r="F22" s="133">
        <f t="shared" ref="F22:T22" si="2">F21/F41</f>
        <v>0.29382407407407407</v>
      </c>
      <c r="G22" s="66">
        <f t="shared" si="2"/>
        <v>0.23995471014492747</v>
      </c>
      <c r="H22" s="66">
        <f t="shared" si="2"/>
        <v>0.15125326370757181</v>
      </c>
      <c r="I22" s="66">
        <f t="shared" si="2"/>
        <v>0.19712469362745097</v>
      </c>
      <c r="J22" s="66">
        <f t="shared" si="2"/>
        <v>0.28744047619047619</v>
      </c>
      <c r="K22" s="66">
        <f t="shared" si="2"/>
        <v>0.22864583333333333</v>
      </c>
      <c r="L22" s="66">
        <f t="shared" si="2"/>
        <v>0.19813809523809522</v>
      </c>
      <c r="M22" s="66">
        <f t="shared" si="2"/>
        <v>0.10666666666666666</v>
      </c>
      <c r="N22" s="66">
        <f t="shared" si="2"/>
        <v>0.45652777777777781</v>
      </c>
      <c r="O22" s="66">
        <f t="shared" si="2"/>
        <v>0.28201527777777774</v>
      </c>
      <c r="P22" s="66">
        <f t="shared" si="2"/>
        <v>0.3526569444444444</v>
      </c>
      <c r="Q22" s="66">
        <f t="shared" si="2"/>
        <v>0.20215476190476189</v>
      </c>
      <c r="R22" s="66">
        <f t="shared" si="2"/>
        <v>0.67363333333333342</v>
      </c>
      <c r="S22" s="66">
        <f t="shared" si="2"/>
        <v>0.23167499999999999</v>
      </c>
      <c r="T22" s="42">
        <f t="shared" si="2"/>
        <v>0.26454629629629633</v>
      </c>
      <c r="U22" s="122"/>
      <c r="V22" s="120"/>
      <c r="W22" s="120"/>
      <c r="X22" s="120"/>
    </row>
    <row r="23" spans="1:24" s="118" customFormat="1" ht="11.25" hidden="1" customHeight="1" x14ac:dyDescent="0.2">
      <c r="A23" s="186"/>
      <c r="B23" s="187"/>
      <c r="C23" s="187"/>
      <c r="D23" s="187"/>
      <c r="E23" s="146">
        <f>70-E21</f>
        <v>0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44"/>
      <c r="U23" s="122"/>
      <c r="V23" s="120"/>
      <c r="W23" s="120"/>
      <c r="X23" s="120"/>
    </row>
    <row r="24" spans="1:24" s="118" customFormat="1" ht="11.25" customHeight="1" x14ac:dyDescent="0.2">
      <c r="A24" s="227" t="s">
        <v>28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9"/>
      <c r="U24" s="10"/>
      <c r="V24" s="23"/>
      <c r="W24" s="23"/>
      <c r="X24" s="23"/>
    </row>
    <row r="25" spans="1:24" s="118" customFormat="1" ht="20.25" customHeight="1" x14ac:dyDescent="0.2">
      <c r="A25" s="64">
        <v>71</v>
      </c>
      <c r="B25" s="231" t="s">
        <v>115</v>
      </c>
      <c r="C25" s="232"/>
      <c r="D25" s="68">
        <v>50</v>
      </c>
      <c r="E25" s="68">
        <v>7.68</v>
      </c>
      <c r="F25" s="199">
        <f>0.5*D25/60</f>
        <v>0.41666666666666669</v>
      </c>
      <c r="G25" s="199">
        <f>0.03*D25/30</f>
        <v>0.05</v>
      </c>
      <c r="H25" s="199">
        <f>1.7*D25/60</f>
        <v>1.4166666666666667</v>
      </c>
      <c r="I25" s="199">
        <f>F25*4+G25*9+H25*4</f>
        <v>7.7833333333333332</v>
      </c>
      <c r="J25" s="69">
        <v>8.9999999999999993E-3</v>
      </c>
      <c r="K25" s="199">
        <v>0.01</v>
      </c>
      <c r="L25" s="70">
        <v>3</v>
      </c>
      <c r="M25" s="69">
        <v>3.0000000000000001E-3</v>
      </c>
      <c r="N25" s="68">
        <v>0.03</v>
      </c>
      <c r="O25" s="199">
        <v>6.9</v>
      </c>
      <c r="P25" s="199">
        <v>12.6</v>
      </c>
      <c r="Q25" s="69">
        <v>6.4000000000000001E-2</v>
      </c>
      <c r="R25" s="69">
        <v>1E-3</v>
      </c>
      <c r="S25" s="199">
        <v>4.2</v>
      </c>
      <c r="T25" s="199">
        <v>0.18</v>
      </c>
      <c r="U25" s="31"/>
      <c r="V25" s="32"/>
      <c r="W25" s="32"/>
      <c r="X25" s="32"/>
    </row>
    <row r="26" spans="1:24" s="118" customFormat="1" ht="21.75" customHeight="1" x14ac:dyDescent="0.2">
      <c r="A26" s="198">
        <v>106</v>
      </c>
      <c r="B26" s="256" t="s">
        <v>100</v>
      </c>
      <c r="C26" s="257"/>
      <c r="D26" s="123">
        <v>250</v>
      </c>
      <c r="E26" s="123">
        <v>12.61</v>
      </c>
      <c r="F26" s="126">
        <v>8.61</v>
      </c>
      <c r="G26" s="126">
        <v>8.4</v>
      </c>
      <c r="H26" s="126">
        <v>14.34</v>
      </c>
      <c r="I26" s="126">
        <v>167.25</v>
      </c>
      <c r="J26" s="126">
        <v>0.1</v>
      </c>
      <c r="K26" s="126">
        <v>0</v>
      </c>
      <c r="L26" s="126">
        <v>9.11</v>
      </c>
      <c r="M26" s="126">
        <v>15</v>
      </c>
      <c r="N26" s="127">
        <v>0</v>
      </c>
      <c r="O26" s="126">
        <v>45.3</v>
      </c>
      <c r="P26" s="126">
        <v>176.53</v>
      </c>
      <c r="Q26" s="126">
        <v>0</v>
      </c>
      <c r="R26" s="126">
        <v>0</v>
      </c>
      <c r="S26" s="126">
        <v>47.35</v>
      </c>
      <c r="T26" s="126">
        <v>1.26</v>
      </c>
      <c r="U26" s="128"/>
      <c r="V26" s="129"/>
      <c r="W26" s="129"/>
      <c r="X26" s="129"/>
    </row>
    <row r="27" spans="1:24" s="118" customFormat="1" ht="12.75" customHeight="1" x14ac:dyDescent="0.2">
      <c r="A27" s="198">
        <v>293</v>
      </c>
      <c r="B27" s="231" t="s">
        <v>102</v>
      </c>
      <c r="C27" s="232"/>
      <c r="D27" s="125">
        <v>120</v>
      </c>
      <c r="E27" s="126">
        <v>45.87</v>
      </c>
      <c r="F27" s="126">
        <v>33.090000000000003</v>
      </c>
      <c r="G27" s="126">
        <v>27.34</v>
      </c>
      <c r="H27" s="126">
        <v>8.82</v>
      </c>
      <c r="I27" s="126">
        <v>414.37</v>
      </c>
      <c r="J27" s="126">
        <v>0.09</v>
      </c>
      <c r="K27" s="126">
        <v>0</v>
      </c>
      <c r="L27" s="126">
        <v>4.4999999999999998E-2</v>
      </c>
      <c r="M27" s="125">
        <v>80.62</v>
      </c>
      <c r="N27" s="123">
        <v>0</v>
      </c>
      <c r="O27" s="124">
        <v>102.19</v>
      </c>
      <c r="P27" s="126">
        <v>249.19</v>
      </c>
      <c r="Q27" s="125">
        <v>0</v>
      </c>
      <c r="R27" s="125">
        <v>0</v>
      </c>
      <c r="S27" s="126">
        <v>38.07</v>
      </c>
      <c r="T27" s="126">
        <v>3.04</v>
      </c>
      <c r="U27" s="128"/>
      <c r="V27" s="129"/>
      <c r="W27" s="129"/>
      <c r="X27" s="129"/>
    </row>
    <row r="28" spans="1:24" s="118" customFormat="1" ht="12.75" customHeight="1" x14ac:dyDescent="0.2">
      <c r="A28" s="131">
        <v>171</v>
      </c>
      <c r="B28" s="231" t="s">
        <v>24</v>
      </c>
      <c r="C28" s="232"/>
      <c r="D28" s="125">
        <v>180</v>
      </c>
      <c r="E28" s="126">
        <v>13.8</v>
      </c>
      <c r="F28" s="126">
        <f>6.57*D28/150</f>
        <v>7.8840000000000012</v>
      </c>
      <c r="G28" s="126">
        <f>4.19*D28/150</f>
        <v>5.0280000000000005</v>
      </c>
      <c r="H28" s="126">
        <f>32.32*D28/150</f>
        <v>38.783999999999999</v>
      </c>
      <c r="I28" s="126">
        <f>F28*4+G28*9+H28*4</f>
        <v>231.92400000000001</v>
      </c>
      <c r="J28" s="127">
        <f>0.06*D28/150</f>
        <v>7.1999999999999995E-2</v>
      </c>
      <c r="K28" s="127">
        <f>0.03*D28/150</f>
        <v>3.5999999999999997E-2</v>
      </c>
      <c r="L28" s="123">
        <v>0</v>
      </c>
      <c r="M28" s="127">
        <f>0.03*D28/150</f>
        <v>3.5999999999999997E-2</v>
      </c>
      <c r="N28" s="123">
        <f>2.55*D28/150</f>
        <v>3.0599999999999996</v>
      </c>
      <c r="O28" s="126">
        <f>18.12*D28/150</f>
        <v>21.744000000000003</v>
      </c>
      <c r="P28" s="126">
        <f>157.03*D28/150</f>
        <v>188.43600000000001</v>
      </c>
      <c r="Q28" s="127">
        <f>0.8874*D28/150</f>
        <v>1.06488</v>
      </c>
      <c r="R28" s="127">
        <f>0.00135*D28/150</f>
        <v>1.6200000000000001E-3</v>
      </c>
      <c r="S28" s="126">
        <f>104.45*D28/150</f>
        <v>125.34</v>
      </c>
      <c r="T28" s="126">
        <f>3.55*D28/150</f>
        <v>4.26</v>
      </c>
      <c r="U28" s="128"/>
      <c r="V28" s="129"/>
      <c r="W28" s="129"/>
      <c r="X28" s="129"/>
    </row>
    <row r="29" spans="1:24" s="118" customFormat="1" x14ac:dyDescent="0.2">
      <c r="A29" s="111">
        <v>345</v>
      </c>
      <c r="B29" s="230" t="s">
        <v>49</v>
      </c>
      <c r="C29" s="230"/>
      <c r="D29" s="115">
        <v>200</v>
      </c>
      <c r="E29" s="106">
        <v>4.9000000000000004</v>
      </c>
      <c r="F29" s="106">
        <v>0.06</v>
      </c>
      <c r="G29" s="106">
        <v>0.02</v>
      </c>
      <c r="H29" s="106">
        <v>20.73</v>
      </c>
      <c r="I29" s="106">
        <v>83.34</v>
      </c>
      <c r="J29" s="106">
        <v>0</v>
      </c>
      <c r="K29" s="106">
        <v>0</v>
      </c>
      <c r="L29" s="106">
        <v>2.5</v>
      </c>
      <c r="M29" s="106">
        <v>4.0000000000000001E-3</v>
      </c>
      <c r="N29" s="106">
        <v>0.2</v>
      </c>
      <c r="O29" s="106">
        <v>4</v>
      </c>
      <c r="P29" s="106">
        <v>3.3</v>
      </c>
      <c r="Q29" s="106">
        <v>0.08</v>
      </c>
      <c r="R29" s="106">
        <v>1E-3</v>
      </c>
      <c r="S29" s="106">
        <v>1.7</v>
      </c>
      <c r="T29" s="106">
        <v>0.15</v>
      </c>
      <c r="U29" s="128"/>
      <c r="V29" s="129"/>
      <c r="W29" s="129"/>
      <c r="X29" s="129"/>
    </row>
    <row r="30" spans="1:24" s="118" customFormat="1" ht="11.25" customHeight="1" x14ac:dyDescent="0.2">
      <c r="A30" s="67" t="s">
        <v>66</v>
      </c>
      <c r="B30" s="231" t="s">
        <v>46</v>
      </c>
      <c r="C30" s="232"/>
      <c r="D30" s="125">
        <v>40</v>
      </c>
      <c r="E30" s="126">
        <v>2.04</v>
      </c>
      <c r="F30" s="126">
        <f>2.64*D30/40</f>
        <v>2.64</v>
      </c>
      <c r="G30" s="126">
        <f>0.48*D30/40</f>
        <v>0.48</v>
      </c>
      <c r="H30" s="126">
        <f>13.68*D30/40</f>
        <v>13.680000000000001</v>
      </c>
      <c r="I30" s="124">
        <f>F30*4+G30*9+H30*4</f>
        <v>69.600000000000009</v>
      </c>
      <c r="J30" s="123">
        <f>0.08*D30/40</f>
        <v>0.08</v>
      </c>
      <c r="K30" s="126">
        <f>0.04*D30/40</f>
        <v>0.04</v>
      </c>
      <c r="L30" s="125">
        <v>0</v>
      </c>
      <c r="M30" s="125">
        <v>0</v>
      </c>
      <c r="N30" s="126">
        <f>2.4*D30/40</f>
        <v>2.4</v>
      </c>
      <c r="O30" s="126">
        <f>14*D30/40</f>
        <v>14</v>
      </c>
      <c r="P30" s="126">
        <f>63.2*D30/40</f>
        <v>63.2</v>
      </c>
      <c r="Q30" s="126">
        <f>1.2*D30/40</f>
        <v>1.2</v>
      </c>
      <c r="R30" s="127">
        <f>0.001*D30/40</f>
        <v>1E-3</v>
      </c>
      <c r="S30" s="126">
        <f>9.4*D30/40</f>
        <v>9.4</v>
      </c>
      <c r="T30" s="123">
        <f>0.78*D30/40</f>
        <v>0.78</v>
      </c>
      <c r="U30" s="29"/>
      <c r="V30" s="30"/>
      <c r="W30" s="30"/>
      <c r="X30" s="30"/>
    </row>
    <row r="31" spans="1:24" s="118" customFormat="1" ht="11.25" customHeight="1" x14ac:dyDescent="0.2">
      <c r="A31" s="131" t="s">
        <v>66</v>
      </c>
      <c r="B31" s="231" t="s">
        <v>53</v>
      </c>
      <c r="C31" s="232"/>
      <c r="D31" s="125">
        <v>40</v>
      </c>
      <c r="E31" s="126">
        <v>3.1</v>
      </c>
      <c r="F31" s="126">
        <f>1.52*D31/30</f>
        <v>2.0266666666666664</v>
      </c>
      <c r="G31" s="127">
        <f>0.16*D31/30</f>
        <v>0.21333333333333335</v>
      </c>
      <c r="H31" s="127">
        <f>9.84*D31/30</f>
        <v>13.120000000000001</v>
      </c>
      <c r="I31" s="127">
        <f>F31*4+G31*9+H31*4</f>
        <v>62.506666666666668</v>
      </c>
      <c r="J31" s="127">
        <f>0.02*D31/30</f>
        <v>2.6666666666666668E-2</v>
      </c>
      <c r="K31" s="127">
        <f>0.01*D31/30</f>
        <v>1.3333333333333334E-2</v>
      </c>
      <c r="L31" s="127">
        <f>0.44*D31/30</f>
        <v>0.58666666666666667</v>
      </c>
      <c r="M31" s="127">
        <v>0</v>
      </c>
      <c r="N31" s="127">
        <f>0.7*D31/30</f>
        <v>0.93333333333333335</v>
      </c>
      <c r="O31" s="127">
        <f>4*D31/30</f>
        <v>5.333333333333333</v>
      </c>
      <c r="P31" s="127">
        <f>13*D31/30</f>
        <v>17.333333333333332</v>
      </c>
      <c r="Q31" s="127">
        <f>0.008*D31/30</f>
        <v>1.0666666666666666E-2</v>
      </c>
      <c r="R31" s="127">
        <f>0.001*D31/30</f>
        <v>1.3333333333333333E-3</v>
      </c>
      <c r="S31" s="127">
        <v>0</v>
      </c>
      <c r="T31" s="127">
        <f>0.22*D31/30</f>
        <v>0.29333333333333333</v>
      </c>
      <c r="U31" s="128"/>
      <c r="V31" s="129"/>
      <c r="W31" s="129"/>
      <c r="X31" s="129"/>
    </row>
    <row r="32" spans="1:24" s="118" customFormat="1" ht="11.25" customHeight="1" x14ac:dyDescent="0.2">
      <c r="A32" s="58" t="s">
        <v>29</v>
      </c>
      <c r="B32" s="59"/>
      <c r="C32" s="59"/>
      <c r="D32" s="62">
        <f t="shared" ref="D32:I32" si="3">SUM(D25:D31)</f>
        <v>880</v>
      </c>
      <c r="E32" s="132">
        <f t="shared" si="3"/>
        <v>90</v>
      </c>
      <c r="F32" s="38">
        <f t="shared" si="3"/>
        <v>54.727333333333334</v>
      </c>
      <c r="G32" s="37">
        <f t="shared" si="3"/>
        <v>41.531333333333329</v>
      </c>
      <c r="H32" s="37">
        <f t="shared" si="3"/>
        <v>110.89066666666668</v>
      </c>
      <c r="I32" s="37">
        <f t="shared" si="3"/>
        <v>1036.7740000000001</v>
      </c>
      <c r="J32" s="38">
        <f t="shared" ref="J32:T32" si="4">SUM(J25:J31)</f>
        <v>0.37766666666666671</v>
      </c>
      <c r="K32" s="38">
        <f t="shared" si="4"/>
        <v>9.9333333333333329E-2</v>
      </c>
      <c r="L32" s="37">
        <f t="shared" si="4"/>
        <v>15.241666666666665</v>
      </c>
      <c r="M32" s="38">
        <f t="shared" si="4"/>
        <v>95.663000000000011</v>
      </c>
      <c r="N32" s="39">
        <f t="shared" si="4"/>
        <v>6.6233333333333331</v>
      </c>
      <c r="O32" s="38">
        <f t="shared" si="4"/>
        <v>199.46733333333333</v>
      </c>
      <c r="P32" s="37">
        <f t="shared" si="4"/>
        <v>710.58933333333334</v>
      </c>
      <c r="Q32" s="37">
        <f t="shared" si="4"/>
        <v>2.4195466666666667</v>
      </c>
      <c r="R32" s="38">
        <f t="shared" si="4"/>
        <v>5.953333333333333E-3</v>
      </c>
      <c r="S32" s="37">
        <f t="shared" si="4"/>
        <v>226.06</v>
      </c>
      <c r="T32" s="38">
        <f t="shared" si="4"/>
        <v>9.9633333333333329</v>
      </c>
      <c r="U32" s="37"/>
      <c r="V32" s="120"/>
      <c r="W32" s="120"/>
      <c r="X32" s="120"/>
    </row>
    <row r="33" spans="1:24" s="118" customFormat="1" ht="11.25" customHeight="1" x14ac:dyDescent="0.2">
      <c r="A33" s="220" t="s">
        <v>62</v>
      </c>
      <c r="B33" s="221"/>
      <c r="C33" s="221"/>
      <c r="D33" s="222"/>
      <c r="E33" s="187"/>
      <c r="F33" s="133">
        <f>F32/F41</f>
        <v>0.60808148148148145</v>
      </c>
      <c r="G33" s="66">
        <f t="shared" ref="G33:T33" si="5">G32/G41</f>
        <v>0.45142753623188403</v>
      </c>
      <c r="H33" s="66">
        <f t="shared" si="5"/>
        <v>0.2895317667536989</v>
      </c>
      <c r="I33" s="66">
        <f t="shared" si="5"/>
        <v>0.38116691176470591</v>
      </c>
      <c r="J33" s="66">
        <f t="shared" si="5"/>
        <v>0.26976190476190481</v>
      </c>
      <c r="K33" s="66">
        <f t="shared" si="5"/>
        <v>6.2083333333333331E-2</v>
      </c>
      <c r="L33" s="66">
        <f t="shared" si="5"/>
        <v>0.21773809523809523</v>
      </c>
      <c r="M33" s="66">
        <f t="shared" si="5"/>
        <v>106.29222222222224</v>
      </c>
      <c r="N33" s="66">
        <f t="shared" si="5"/>
        <v>0.55194444444444446</v>
      </c>
      <c r="O33" s="66">
        <f t="shared" si="5"/>
        <v>0.16622277777777777</v>
      </c>
      <c r="P33" s="66">
        <f t="shared" si="5"/>
        <v>0.59215777777777778</v>
      </c>
      <c r="Q33" s="66">
        <f t="shared" si="5"/>
        <v>0.1728247619047619</v>
      </c>
      <c r="R33" s="66">
        <f t="shared" si="5"/>
        <v>5.9533333333333327E-2</v>
      </c>
      <c r="S33" s="66">
        <f t="shared" si="5"/>
        <v>0.75353333333333339</v>
      </c>
      <c r="T33" s="42">
        <f t="shared" si="5"/>
        <v>0.55351851851851852</v>
      </c>
      <c r="U33" s="122"/>
      <c r="V33" s="120"/>
      <c r="W33" s="120"/>
      <c r="X33" s="120"/>
    </row>
    <row r="34" spans="1:24" s="118" customFormat="1" ht="11.25" hidden="1" customHeight="1" x14ac:dyDescent="0.2">
      <c r="A34" s="186"/>
      <c r="B34" s="187"/>
      <c r="C34" s="187"/>
      <c r="D34" s="187"/>
      <c r="E34" s="146">
        <f>90-E32</f>
        <v>0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44"/>
      <c r="U34" s="122"/>
      <c r="V34" s="120"/>
      <c r="W34" s="120"/>
      <c r="X34" s="120"/>
    </row>
    <row r="35" spans="1:24" s="118" customFormat="1" ht="11.25" customHeight="1" x14ac:dyDescent="0.2">
      <c r="A35" s="227" t="s">
        <v>30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9"/>
      <c r="U35" s="10"/>
      <c r="V35" s="23"/>
      <c r="W35" s="23"/>
      <c r="X35" s="23"/>
    </row>
    <row r="36" spans="1:24" s="107" customFormat="1" ht="12" customHeight="1" x14ac:dyDescent="0.2">
      <c r="A36" s="113"/>
      <c r="B36" s="238"/>
      <c r="C36" s="238"/>
      <c r="D36" s="109"/>
      <c r="E36" s="108"/>
      <c r="F36" s="108"/>
      <c r="G36" s="170"/>
      <c r="H36" s="170"/>
      <c r="I36" s="108"/>
      <c r="J36" s="108"/>
      <c r="K36" s="108"/>
      <c r="L36" s="108"/>
      <c r="M36" s="169"/>
      <c r="N36" s="170"/>
      <c r="O36" s="108"/>
      <c r="P36" s="108"/>
      <c r="Q36" s="108"/>
      <c r="R36" s="168"/>
      <c r="S36" s="108"/>
      <c r="T36" s="108"/>
    </row>
    <row r="37" spans="1:24" s="107" customFormat="1" ht="12" customHeight="1" x14ac:dyDescent="0.2">
      <c r="A37" s="172"/>
      <c r="B37" s="239"/>
      <c r="C37" s="239"/>
      <c r="D37" s="173"/>
      <c r="E37" s="114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</row>
    <row r="38" spans="1:24" s="1" customFormat="1" ht="11.25" customHeight="1" x14ac:dyDescent="0.2">
      <c r="A38" s="58" t="s">
        <v>31</v>
      </c>
      <c r="B38" s="59"/>
      <c r="C38" s="59"/>
      <c r="D38" s="62">
        <f t="shared" ref="D38:I38" si="6">SUM(D36:D37)</f>
        <v>0</v>
      </c>
      <c r="E38" s="132">
        <f t="shared" si="6"/>
        <v>0</v>
      </c>
      <c r="F38" s="38">
        <f t="shared" si="6"/>
        <v>0</v>
      </c>
      <c r="G38" s="37">
        <f t="shared" si="6"/>
        <v>0</v>
      </c>
      <c r="H38" s="37">
        <f t="shared" si="6"/>
        <v>0</v>
      </c>
      <c r="I38" s="37">
        <f t="shared" si="6"/>
        <v>0</v>
      </c>
      <c r="J38" s="38">
        <f t="shared" ref="J38:T38" si="7">SUM(J36:J37)</f>
        <v>0</v>
      </c>
      <c r="K38" s="38">
        <f t="shared" si="7"/>
        <v>0</v>
      </c>
      <c r="L38" s="38">
        <f t="shared" si="7"/>
        <v>0</v>
      </c>
      <c r="M38" s="38">
        <f t="shared" si="7"/>
        <v>0</v>
      </c>
      <c r="N38" s="39">
        <f t="shared" si="7"/>
        <v>0</v>
      </c>
      <c r="O38" s="38">
        <f t="shared" si="7"/>
        <v>0</v>
      </c>
      <c r="P38" s="38">
        <f t="shared" si="7"/>
        <v>0</v>
      </c>
      <c r="Q38" s="38">
        <f t="shared" si="7"/>
        <v>0</v>
      </c>
      <c r="R38" s="38">
        <f t="shared" si="7"/>
        <v>0</v>
      </c>
      <c r="S38" s="38">
        <f t="shared" si="7"/>
        <v>0</v>
      </c>
      <c r="T38" s="38">
        <f t="shared" si="7"/>
        <v>0</v>
      </c>
      <c r="U38" s="37"/>
      <c r="V38" s="120"/>
      <c r="W38" s="120"/>
      <c r="X38" s="120"/>
    </row>
    <row r="39" spans="1:24" s="1" customFormat="1" ht="11.25" customHeight="1" x14ac:dyDescent="0.2">
      <c r="A39" s="220" t="s">
        <v>62</v>
      </c>
      <c r="B39" s="221"/>
      <c r="C39" s="221"/>
      <c r="D39" s="222"/>
      <c r="E39" s="188"/>
      <c r="F39" s="38">
        <f>F38/F41</f>
        <v>0</v>
      </c>
      <c r="G39" s="42">
        <f t="shared" ref="G39:T39" si="8">G38/G41</f>
        <v>0</v>
      </c>
      <c r="H39" s="42">
        <f t="shared" si="8"/>
        <v>0</v>
      </c>
      <c r="I39" s="42">
        <f t="shared" si="8"/>
        <v>0</v>
      </c>
      <c r="J39" s="42">
        <f t="shared" si="8"/>
        <v>0</v>
      </c>
      <c r="K39" s="42">
        <f t="shared" si="8"/>
        <v>0</v>
      </c>
      <c r="L39" s="42">
        <f t="shared" si="8"/>
        <v>0</v>
      </c>
      <c r="M39" s="42">
        <f t="shared" si="8"/>
        <v>0</v>
      </c>
      <c r="N39" s="42">
        <f t="shared" si="8"/>
        <v>0</v>
      </c>
      <c r="O39" s="42">
        <f t="shared" si="8"/>
        <v>0</v>
      </c>
      <c r="P39" s="42">
        <f t="shared" si="8"/>
        <v>0</v>
      </c>
      <c r="Q39" s="42">
        <f t="shared" si="8"/>
        <v>0</v>
      </c>
      <c r="R39" s="42">
        <f t="shared" si="8"/>
        <v>0</v>
      </c>
      <c r="S39" s="42">
        <f t="shared" si="8"/>
        <v>0</v>
      </c>
      <c r="T39" s="42">
        <f t="shared" si="8"/>
        <v>0</v>
      </c>
      <c r="U39" s="122"/>
      <c r="V39" s="120"/>
      <c r="W39" s="120"/>
      <c r="X39" s="120"/>
    </row>
    <row r="40" spans="1:24" s="1" customFormat="1" ht="11.25" customHeight="1" x14ac:dyDescent="0.2">
      <c r="A40" s="235" t="s">
        <v>61</v>
      </c>
      <c r="B40" s="236"/>
      <c r="C40" s="236"/>
      <c r="D40" s="237"/>
      <c r="E40" s="193"/>
      <c r="F40" s="38">
        <f t="shared" ref="F40:T40" si="9">SUM(F21,F32,F38)</f>
        <v>81.171500000000009</v>
      </c>
      <c r="G40" s="37">
        <f t="shared" si="9"/>
        <v>63.607166666666657</v>
      </c>
      <c r="H40" s="37">
        <f t="shared" si="9"/>
        <v>168.82066666666668</v>
      </c>
      <c r="I40" s="37">
        <f t="shared" si="9"/>
        <v>1572.9531666666667</v>
      </c>
      <c r="J40" s="38">
        <f t="shared" si="9"/>
        <v>0.78008333333333335</v>
      </c>
      <c r="K40" s="38">
        <f t="shared" si="9"/>
        <v>0.46516666666666667</v>
      </c>
      <c r="L40" s="37">
        <f t="shared" si="9"/>
        <v>29.111333333333331</v>
      </c>
      <c r="M40" s="38">
        <f t="shared" si="9"/>
        <v>95.759000000000015</v>
      </c>
      <c r="N40" s="38">
        <f t="shared" si="9"/>
        <v>12.101666666666667</v>
      </c>
      <c r="O40" s="37">
        <f t="shared" si="9"/>
        <v>537.88566666666657</v>
      </c>
      <c r="P40" s="37">
        <f t="shared" si="9"/>
        <v>1133.7776666666666</v>
      </c>
      <c r="Q40" s="38">
        <f t="shared" si="9"/>
        <v>5.2497133333333332</v>
      </c>
      <c r="R40" s="39">
        <f t="shared" si="9"/>
        <v>7.3316666666666683E-2</v>
      </c>
      <c r="S40" s="38">
        <f t="shared" si="9"/>
        <v>295.5625</v>
      </c>
      <c r="T40" s="38">
        <f t="shared" si="9"/>
        <v>14.725166666666667</v>
      </c>
      <c r="U40" s="40"/>
      <c r="V40" s="120"/>
      <c r="W40" s="120"/>
      <c r="X40" s="120"/>
    </row>
    <row r="41" spans="1:24" s="1" customFormat="1" ht="11.25" customHeight="1" x14ac:dyDescent="0.2">
      <c r="A41" s="235" t="s">
        <v>63</v>
      </c>
      <c r="B41" s="236"/>
      <c r="C41" s="236"/>
      <c r="D41" s="237"/>
      <c r="E41" s="193"/>
      <c r="F41" s="126">
        <v>90</v>
      </c>
      <c r="G41" s="124">
        <v>92</v>
      </c>
      <c r="H41" s="124">
        <v>383</v>
      </c>
      <c r="I41" s="124">
        <v>2720</v>
      </c>
      <c r="J41" s="126">
        <v>1.4</v>
      </c>
      <c r="K41" s="126">
        <v>1.6</v>
      </c>
      <c r="L41" s="125">
        <v>70</v>
      </c>
      <c r="M41" s="126">
        <v>0.9</v>
      </c>
      <c r="N41" s="125">
        <v>12</v>
      </c>
      <c r="O41" s="125">
        <v>1200</v>
      </c>
      <c r="P41" s="125">
        <v>1200</v>
      </c>
      <c r="Q41" s="125">
        <v>14</v>
      </c>
      <c r="R41" s="124">
        <v>0.1</v>
      </c>
      <c r="S41" s="125">
        <v>300</v>
      </c>
      <c r="T41" s="126">
        <v>18</v>
      </c>
      <c r="U41" s="128"/>
      <c r="V41" s="129"/>
      <c r="W41" s="129"/>
      <c r="X41" s="129"/>
    </row>
    <row r="42" spans="1:24" s="1" customFormat="1" ht="11.25" customHeight="1" x14ac:dyDescent="0.2">
      <c r="A42" s="220" t="s">
        <v>62</v>
      </c>
      <c r="B42" s="221"/>
      <c r="C42" s="221"/>
      <c r="D42" s="222"/>
      <c r="E42" s="188"/>
      <c r="F42" s="66">
        <f t="shared" ref="F42:T42" si="10">F40/F41</f>
        <v>0.90190555555555563</v>
      </c>
      <c r="G42" s="42">
        <f t="shared" si="10"/>
        <v>0.69138224637681145</v>
      </c>
      <c r="H42" s="42">
        <f t="shared" si="10"/>
        <v>0.44078503046127071</v>
      </c>
      <c r="I42" s="42">
        <f t="shared" si="10"/>
        <v>0.57829160539215685</v>
      </c>
      <c r="J42" s="42">
        <f t="shared" si="10"/>
        <v>0.55720238095238095</v>
      </c>
      <c r="K42" s="42">
        <f t="shared" si="10"/>
        <v>0.29072916666666665</v>
      </c>
      <c r="L42" s="42">
        <f t="shared" si="10"/>
        <v>0.41587619047619045</v>
      </c>
      <c r="M42" s="43">
        <f t="shared" si="10"/>
        <v>106.39888888888891</v>
      </c>
      <c r="N42" s="42">
        <f t="shared" si="10"/>
        <v>1.0084722222222222</v>
      </c>
      <c r="O42" s="42">
        <f t="shared" si="10"/>
        <v>0.44823805555555546</v>
      </c>
      <c r="P42" s="42">
        <f t="shared" si="10"/>
        <v>0.94481472222222218</v>
      </c>
      <c r="Q42" s="42">
        <f t="shared" si="10"/>
        <v>0.37497952380952382</v>
      </c>
      <c r="R42" s="43">
        <f t="shared" si="10"/>
        <v>0.73316666666666674</v>
      </c>
      <c r="S42" s="42">
        <f t="shared" si="10"/>
        <v>0.98520833333333335</v>
      </c>
      <c r="T42" s="43">
        <f t="shared" si="10"/>
        <v>0.81806481481481486</v>
      </c>
      <c r="U42" s="44"/>
      <c r="V42" s="45"/>
      <c r="W42" s="45"/>
      <c r="X42" s="45"/>
    </row>
    <row r="43" spans="1:24" s="1" customFormat="1" ht="11.25" customHeight="1" x14ac:dyDescent="0.2">
      <c r="A43" s="51"/>
      <c r="B43" s="51"/>
      <c r="C43" s="185"/>
      <c r="D43" s="185"/>
      <c r="E43" s="185"/>
      <c r="F43" s="91"/>
      <c r="G43" s="118"/>
      <c r="H43" s="2"/>
      <c r="I43" s="2"/>
      <c r="J43" s="118"/>
      <c r="K43" s="118"/>
      <c r="L43" s="118"/>
      <c r="M43" s="206" t="s">
        <v>65</v>
      </c>
      <c r="N43" s="206"/>
      <c r="O43" s="206"/>
      <c r="P43" s="206"/>
      <c r="Q43" s="206"/>
      <c r="R43" s="206"/>
      <c r="S43" s="206"/>
      <c r="T43" s="206"/>
      <c r="U43" s="11"/>
      <c r="V43" s="18"/>
      <c r="W43" s="18"/>
      <c r="X43" s="18"/>
    </row>
    <row r="44" spans="1:24" s="1" customFormat="1" ht="11.25" customHeight="1" x14ac:dyDescent="0.2">
      <c r="A44" s="51"/>
      <c r="B44" s="51"/>
      <c r="C44" s="185"/>
      <c r="D44" s="185"/>
      <c r="E44" s="185"/>
      <c r="F44" s="91"/>
      <c r="G44" s="118"/>
      <c r="H44" s="2"/>
      <c r="I44" s="2"/>
      <c r="J44" s="118"/>
      <c r="K44" s="118"/>
      <c r="L44" s="118"/>
      <c r="M44" s="184"/>
      <c r="N44" s="184"/>
      <c r="O44" s="184"/>
      <c r="P44" s="184"/>
      <c r="Q44" s="184"/>
      <c r="R44" s="184"/>
      <c r="S44" s="184"/>
      <c r="T44" s="184"/>
      <c r="U44" s="11"/>
      <c r="V44" s="18"/>
      <c r="W44" s="18"/>
      <c r="X44" s="18"/>
    </row>
    <row r="45" spans="1:24" ht="11.25" customHeight="1" x14ac:dyDescent="0.2">
      <c r="A45" s="51"/>
      <c r="B45" s="51"/>
      <c r="C45" s="51"/>
      <c r="D45" s="118"/>
      <c r="E45" s="118"/>
      <c r="F45" s="119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3"/>
      <c r="V45" s="19"/>
      <c r="W45" s="19"/>
      <c r="X45" s="19"/>
    </row>
    <row r="46" spans="1:24" ht="29.25" customHeight="1" x14ac:dyDescent="0.2">
      <c r="A46" s="254" t="s">
        <v>67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13"/>
      <c r="V46" s="19"/>
      <c r="W46" s="19"/>
      <c r="X46" s="19"/>
    </row>
    <row r="47" spans="1:24" ht="29.25" customHeight="1" x14ac:dyDescent="0.2">
      <c r="A47" s="52"/>
      <c r="B47" s="52"/>
      <c r="C47" s="52"/>
      <c r="D47" s="3"/>
      <c r="E47" s="3"/>
      <c r="F47" s="92"/>
      <c r="G47" s="3"/>
      <c r="H47" s="5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6"/>
      <c r="V47" s="19"/>
      <c r="W47" s="19"/>
      <c r="X47" s="19"/>
    </row>
    <row r="48" spans="1:24" s="84" customFormat="1" ht="13.5" customHeight="1" x14ac:dyDescent="0.2">
      <c r="A48" s="85"/>
      <c r="B48" s="85"/>
      <c r="C48" s="85"/>
      <c r="D48" s="85"/>
      <c r="E48" s="85"/>
      <c r="F48" s="93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6"/>
      <c r="W48" s="83"/>
      <c r="X48" s="83"/>
    </row>
  </sheetData>
  <autoFilter ref="B1:B48"/>
  <mergeCells count="53">
    <mergeCell ref="V1:V5"/>
    <mergeCell ref="X1:X5"/>
    <mergeCell ref="A2:T2"/>
    <mergeCell ref="G4:I4"/>
    <mergeCell ref="L4:M4"/>
    <mergeCell ref="N4:Q4"/>
    <mergeCell ref="D5:F5"/>
    <mergeCell ref="L5:M5"/>
    <mergeCell ref="M6:T6"/>
    <mergeCell ref="A8:T8"/>
    <mergeCell ref="N5:T5"/>
    <mergeCell ref="M1:T1"/>
    <mergeCell ref="U1:U5"/>
    <mergeCell ref="G9:I9"/>
    <mergeCell ref="L9:M9"/>
    <mergeCell ref="N9:Q9"/>
    <mergeCell ref="D10:F10"/>
    <mergeCell ref="L10:M10"/>
    <mergeCell ref="N10:T10"/>
    <mergeCell ref="B17:C17"/>
    <mergeCell ref="A11:A12"/>
    <mergeCell ref="B11:C12"/>
    <mergeCell ref="D11:D12"/>
    <mergeCell ref="F11:H11"/>
    <mergeCell ref="O11:T11"/>
    <mergeCell ref="B13:C13"/>
    <mergeCell ref="A14:T14"/>
    <mergeCell ref="B15:C15"/>
    <mergeCell ref="B16:C16"/>
    <mergeCell ref="I11:I12"/>
    <mergeCell ref="J11:N11"/>
    <mergeCell ref="B31:C31"/>
    <mergeCell ref="B18:C18"/>
    <mergeCell ref="B19:C19"/>
    <mergeCell ref="B20:C20"/>
    <mergeCell ref="A22:D22"/>
    <mergeCell ref="A24:T24"/>
    <mergeCell ref="B25:C25"/>
    <mergeCell ref="B26:C26"/>
    <mergeCell ref="B27:C27"/>
    <mergeCell ref="B28:C28"/>
    <mergeCell ref="B29:C29"/>
    <mergeCell ref="B30:C30"/>
    <mergeCell ref="M43:T43"/>
    <mergeCell ref="A46:T46"/>
    <mergeCell ref="A41:D41"/>
    <mergeCell ref="A42:D42"/>
    <mergeCell ref="A33:D33"/>
    <mergeCell ref="A35:T35"/>
    <mergeCell ref="B36:C36"/>
    <mergeCell ref="B37:C37"/>
    <mergeCell ref="A39:D39"/>
    <mergeCell ref="A40:D40"/>
  </mergeCells>
  <pageMargins left="0.7" right="0.7" top="0.75" bottom="0.75" header="0.3" footer="0.3"/>
  <pageSetup paperSize="9" scale="79" orientation="landscape" r:id="rId1"/>
  <rowBreaks count="2" manualBreakCount="2">
    <brk id="5" max="16383" man="1"/>
    <brk id="42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X47"/>
  <sheetViews>
    <sheetView view="pageBreakPreview" topLeftCell="A10" zoomScale="80" zoomScaleNormal="80" zoomScaleSheetLayoutView="80" workbookViewId="0">
      <selection activeCell="H17" sqref="H17"/>
    </sheetView>
  </sheetViews>
  <sheetFormatPr defaultRowHeight="11.25" x14ac:dyDescent="0.2"/>
  <cols>
    <col min="1" max="1" width="9.5" style="53" customWidth="1"/>
    <col min="2" max="2" width="16.33203125" style="53" customWidth="1"/>
    <col min="3" max="3" width="25.1640625" style="53" customWidth="1"/>
    <col min="4" max="4" width="8" style="4" customWidth="1"/>
    <col min="5" max="5" width="9.6640625" style="4" customWidth="1"/>
    <col min="6" max="6" width="9.83203125" style="94" customWidth="1"/>
    <col min="7" max="7" width="9.6640625" style="4" customWidth="1"/>
    <col min="8" max="8" width="8.5" style="4" customWidth="1"/>
    <col min="9" max="9" width="10" style="4" customWidth="1"/>
    <col min="10" max="10" width="9" style="4" customWidth="1"/>
    <col min="11" max="11" width="9.83203125" style="4" customWidth="1"/>
    <col min="12" max="12" width="8.83203125" style="4" customWidth="1"/>
    <col min="13" max="13" width="10.33203125" style="4" customWidth="1"/>
    <col min="14" max="14" width="9.5" style="4" customWidth="1"/>
    <col min="15" max="15" width="9.33203125" style="4" customWidth="1"/>
    <col min="16" max="17" width="9.1640625" style="4" customWidth="1"/>
    <col min="18" max="18" width="9" style="4" customWidth="1"/>
    <col min="19" max="19" width="9.5" style="4" customWidth="1"/>
    <col min="20" max="20" width="8.6640625" style="4" customWidth="1"/>
    <col min="21" max="21" width="9.1640625" style="17" customWidth="1"/>
    <col min="22" max="23" width="9.1640625" style="26" customWidth="1"/>
    <col min="24" max="24" width="11.6640625" style="26" customWidth="1"/>
  </cols>
  <sheetData>
    <row r="1" spans="1:24" s="1" customFormat="1" ht="11.25" customHeight="1" x14ac:dyDescent="0.2">
      <c r="A1" s="54"/>
      <c r="B1" s="51"/>
      <c r="C1" s="51"/>
      <c r="D1" s="118"/>
      <c r="E1" s="118"/>
      <c r="F1" s="119"/>
      <c r="G1" s="118"/>
      <c r="H1" s="118"/>
      <c r="I1" s="118"/>
      <c r="J1" s="118"/>
      <c r="K1" s="118"/>
      <c r="L1" s="2"/>
      <c r="M1" s="206" t="s">
        <v>65</v>
      </c>
      <c r="N1" s="206"/>
      <c r="O1" s="206"/>
      <c r="P1" s="206"/>
      <c r="Q1" s="206"/>
      <c r="R1" s="206"/>
      <c r="S1" s="206"/>
      <c r="T1" s="206"/>
      <c r="U1" s="213"/>
      <c r="V1" s="202"/>
      <c r="W1" s="194"/>
      <c r="X1" s="202"/>
    </row>
    <row r="2" spans="1:24" s="1" customFormat="1" ht="15.75" customHeight="1" x14ac:dyDescent="0.25">
      <c r="A2" s="207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14"/>
      <c r="V2" s="202"/>
      <c r="W2" s="194"/>
      <c r="X2" s="202"/>
    </row>
    <row r="3" spans="1:24" s="1" customFormat="1" ht="15.75" customHeight="1" x14ac:dyDescent="0.25">
      <c r="A3" s="195"/>
      <c r="B3" s="195"/>
      <c r="C3" s="195"/>
      <c r="D3" s="195"/>
      <c r="E3" s="195"/>
      <c r="F3" s="195"/>
      <c r="G3" s="195"/>
      <c r="H3" s="195" t="s">
        <v>119</v>
      </c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214"/>
      <c r="V3" s="202"/>
      <c r="W3" s="194"/>
      <c r="X3" s="202"/>
    </row>
    <row r="4" spans="1:24" s="1" customFormat="1" ht="11.25" customHeight="1" x14ac:dyDescent="0.2">
      <c r="A4" s="55" t="s">
        <v>55</v>
      </c>
      <c r="B4" s="51"/>
      <c r="C4" s="51"/>
      <c r="D4" s="2"/>
      <c r="E4" s="2"/>
      <c r="F4" s="119"/>
      <c r="G4" s="208" t="s">
        <v>1</v>
      </c>
      <c r="H4" s="208"/>
      <c r="I4" s="208"/>
      <c r="J4" s="118"/>
      <c r="K4" s="118"/>
      <c r="L4" s="201" t="s">
        <v>2</v>
      </c>
      <c r="M4" s="201"/>
      <c r="N4" s="240"/>
      <c r="O4" s="240"/>
      <c r="P4" s="240"/>
      <c r="Q4" s="240"/>
      <c r="R4" s="118"/>
      <c r="S4" s="118"/>
      <c r="T4" s="118"/>
      <c r="U4" s="214"/>
      <c r="V4" s="202"/>
      <c r="W4" s="194"/>
      <c r="X4" s="202"/>
    </row>
    <row r="5" spans="1:24" s="1" customFormat="1" ht="11.25" customHeight="1" x14ac:dyDescent="0.2">
      <c r="A5" s="51"/>
      <c r="B5" s="51"/>
      <c r="C5" s="51"/>
      <c r="D5" s="201" t="s">
        <v>3</v>
      </c>
      <c r="E5" s="201"/>
      <c r="F5" s="201"/>
      <c r="G5" s="6">
        <v>1</v>
      </c>
      <c r="H5" s="118"/>
      <c r="I5" s="2"/>
      <c r="J5" s="2"/>
      <c r="K5" s="2"/>
      <c r="L5" s="201" t="s">
        <v>4</v>
      </c>
      <c r="M5" s="201"/>
      <c r="N5" s="208" t="s">
        <v>118</v>
      </c>
      <c r="O5" s="208"/>
      <c r="P5" s="208"/>
      <c r="Q5" s="208"/>
      <c r="R5" s="208"/>
      <c r="S5" s="208"/>
      <c r="T5" s="208"/>
      <c r="U5" s="215"/>
      <c r="V5" s="216"/>
      <c r="W5" s="194"/>
      <c r="X5" s="202"/>
    </row>
    <row r="6" spans="1:24" s="1" customFormat="1" ht="11.25" customHeight="1" x14ac:dyDescent="0.2">
      <c r="A6" s="54"/>
      <c r="B6" s="51"/>
      <c r="C6" s="51"/>
      <c r="D6" s="118"/>
      <c r="E6" s="118"/>
      <c r="F6" s="119"/>
      <c r="G6" s="118"/>
      <c r="H6" s="118"/>
      <c r="I6" s="118"/>
      <c r="J6" s="118"/>
      <c r="K6" s="118"/>
      <c r="L6" s="118"/>
      <c r="M6" s="206" t="s">
        <v>65</v>
      </c>
      <c r="N6" s="206"/>
      <c r="O6" s="206"/>
      <c r="P6" s="206"/>
      <c r="Q6" s="206"/>
      <c r="R6" s="206"/>
      <c r="S6" s="206"/>
      <c r="T6" s="206"/>
      <c r="U6" s="11"/>
      <c r="V6" s="18"/>
      <c r="W6" s="18"/>
      <c r="X6" s="18"/>
    </row>
    <row r="7" spans="1:24" s="118" customFormat="1" ht="11.25" customHeight="1" x14ac:dyDescent="0.2">
      <c r="A7" s="249" t="s">
        <v>40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12"/>
      <c r="V7" s="24"/>
      <c r="W7" s="24"/>
      <c r="X7" s="24"/>
    </row>
    <row r="8" spans="1:24" s="118" customFormat="1" ht="11.25" customHeight="1" x14ac:dyDescent="0.2">
      <c r="A8" s="55" t="s">
        <v>55</v>
      </c>
      <c r="B8" s="51"/>
      <c r="C8" s="51"/>
      <c r="D8" s="2"/>
      <c r="E8" s="2"/>
      <c r="F8" s="119"/>
      <c r="G8" s="208" t="s">
        <v>1</v>
      </c>
      <c r="H8" s="208"/>
      <c r="I8" s="208"/>
      <c r="L8" s="201" t="s">
        <v>2</v>
      </c>
      <c r="M8" s="201"/>
      <c r="N8" s="240"/>
      <c r="O8" s="240"/>
      <c r="P8" s="240"/>
      <c r="Q8" s="240"/>
      <c r="U8" s="13"/>
      <c r="V8" s="19"/>
      <c r="W8" s="19"/>
      <c r="X8" s="19"/>
    </row>
    <row r="9" spans="1:24" s="118" customFormat="1" ht="11.25" customHeight="1" x14ac:dyDescent="0.2">
      <c r="A9" s="51"/>
      <c r="B9" s="51"/>
      <c r="C9" s="51"/>
      <c r="D9" s="253" t="s">
        <v>3</v>
      </c>
      <c r="E9" s="253"/>
      <c r="F9" s="253"/>
      <c r="G9" s="6">
        <v>2</v>
      </c>
      <c r="I9" s="2"/>
      <c r="J9" s="2"/>
      <c r="K9" s="2"/>
      <c r="L9" s="253" t="s">
        <v>4</v>
      </c>
      <c r="M9" s="253"/>
      <c r="N9" s="208" t="s">
        <v>118</v>
      </c>
      <c r="O9" s="208"/>
      <c r="P9" s="208"/>
      <c r="Q9" s="208"/>
      <c r="R9" s="208"/>
      <c r="S9" s="208"/>
      <c r="T9" s="208"/>
      <c r="U9" s="14"/>
      <c r="V9" s="20"/>
      <c r="W9" s="20"/>
      <c r="X9" s="20"/>
    </row>
    <row r="10" spans="1:24" s="1" customFormat="1" ht="21.75" customHeight="1" x14ac:dyDescent="0.2">
      <c r="A10" s="217" t="s">
        <v>5</v>
      </c>
      <c r="B10" s="209" t="s">
        <v>6</v>
      </c>
      <c r="C10" s="210"/>
      <c r="D10" s="217" t="s">
        <v>7</v>
      </c>
      <c r="E10" s="196"/>
      <c r="F10" s="203" t="s">
        <v>8</v>
      </c>
      <c r="G10" s="204"/>
      <c r="H10" s="205"/>
      <c r="I10" s="217" t="s">
        <v>9</v>
      </c>
      <c r="J10" s="203" t="s">
        <v>10</v>
      </c>
      <c r="K10" s="204"/>
      <c r="L10" s="204"/>
      <c r="M10" s="204"/>
      <c r="N10" s="205"/>
      <c r="O10" s="203" t="s">
        <v>11</v>
      </c>
      <c r="P10" s="204"/>
      <c r="Q10" s="204"/>
      <c r="R10" s="204"/>
      <c r="S10" s="204"/>
      <c r="T10" s="205"/>
      <c r="U10" s="8"/>
      <c r="V10" s="21"/>
      <c r="W10" s="21"/>
      <c r="X10" s="21"/>
    </row>
    <row r="11" spans="1:24" s="1" customFormat="1" ht="21" customHeight="1" x14ac:dyDescent="0.2">
      <c r="A11" s="218"/>
      <c r="B11" s="211"/>
      <c r="C11" s="212"/>
      <c r="D11" s="218"/>
      <c r="E11" s="190">
        <v>6</v>
      </c>
      <c r="F11" s="89" t="s">
        <v>12</v>
      </c>
      <c r="G11" s="197" t="s">
        <v>13</v>
      </c>
      <c r="H11" s="197" t="s">
        <v>14</v>
      </c>
      <c r="I11" s="218"/>
      <c r="J11" s="197" t="s">
        <v>15</v>
      </c>
      <c r="K11" s="197" t="s">
        <v>57</v>
      </c>
      <c r="L11" s="197" t="s">
        <v>16</v>
      </c>
      <c r="M11" s="197" t="s">
        <v>17</v>
      </c>
      <c r="N11" s="197" t="s">
        <v>18</v>
      </c>
      <c r="O11" s="197" t="s">
        <v>19</v>
      </c>
      <c r="P11" s="197" t="s">
        <v>20</v>
      </c>
      <c r="Q11" s="197" t="s">
        <v>58</v>
      </c>
      <c r="R11" s="197" t="s">
        <v>60</v>
      </c>
      <c r="S11" s="197" t="s">
        <v>21</v>
      </c>
      <c r="T11" s="197" t="s">
        <v>22</v>
      </c>
      <c r="U11" s="8"/>
      <c r="V11" s="21"/>
      <c r="W11" s="21"/>
      <c r="X11" s="21"/>
    </row>
    <row r="12" spans="1:24" s="1" customFormat="1" ht="11.25" customHeight="1" x14ac:dyDescent="0.2">
      <c r="A12" s="198">
        <v>1</v>
      </c>
      <c r="B12" s="233">
        <v>2</v>
      </c>
      <c r="C12" s="234"/>
      <c r="D12" s="36">
        <v>3</v>
      </c>
      <c r="E12" s="36"/>
      <c r="F12" s="90">
        <v>4</v>
      </c>
      <c r="G12" s="36">
        <v>5</v>
      </c>
      <c r="H12" s="36">
        <v>6</v>
      </c>
      <c r="I12" s="36">
        <v>7</v>
      </c>
      <c r="J12" s="36">
        <v>8</v>
      </c>
      <c r="K12" s="36">
        <v>9</v>
      </c>
      <c r="L12" s="36">
        <v>10</v>
      </c>
      <c r="M12" s="36">
        <v>11</v>
      </c>
      <c r="N12" s="36">
        <v>12</v>
      </c>
      <c r="O12" s="36">
        <v>13</v>
      </c>
      <c r="P12" s="36">
        <v>14</v>
      </c>
      <c r="Q12" s="36">
        <v>15</v>
      </c>
      <c r="R12" s="36">
        <v>16</v>
      </c>
      <c r="S12" s="36">
        <v>17</v>
      </c>
      <c r="T12" s="36">
        <v>18</v>
      </c>
      <c r="U12" s="9"/>
      <c r="V12" s="22"/>
      <c r="W12" s="22"/>
      <c r="X12" s="22"/>
    </row>
    <row r="13" spans="1:24" s="1" customFormat="1" ht="11.25" customHeight="1" x14ac:dyDescent="0.2">
      <c r="A13" s="227" t="s">
        <v>23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9"/>
      <c r="U13" s="10"/>
      <c r="V13" s="23"/>
      <c r="W13" s="23"/>
      <c r="X13" s="23"/>
    </row>
    <row r="14" spans="1:24" s="118" customFormat="1" ht="23.25" customHeight="1" x14ac:dyDescent="0.2">
      <c r="A14" s="64">
        <v>71</v>
      </c>
      <c r="B14" s="231" t="s">
        <v>64</v>
      </c>
      <c r="C14" s="232"/>
      <c r="D14" s="68">
        <v>40</v>
      </c>
      <c r="E14" s="199">
        <v>9.41</v>
      </c>
      <c r="F14" s="199">
        <f>0.5*D14/60</f>
        <v>0.33333333333333331</v>
      </c>
      <c r="G14" s="199">
        <f>0.03*D14/30</f>
        <v>0.04</v>
      </c>
      <c r="H14" s="199">
        <f>1.7*D14/60</f>
        <v>1.1333333333333333</v>
      </c>
      <c r="I14" s="199">
        <f>F14*4+G14*9+H14*4</f>
        <v>6.2266666666666666</v>
      </c>
      <c r="J14" s="69">
        <v>8.9999999999999993E-3</v>
      </c>
      <c r="K14" s="199">
        <v>0.01</v>
      </c>
      <c r="L14" s="70">
        <v>3</v>
      </c>
      <c r="M14" s="69">
        <v>3.0000000000000001E-3</v>
      </c>
      <c r="N14" s="68">
        <v>0.03</v>
      </c>
      <c r="O14" s="199">
        <v>6.9</v>
      </c>
      <c r="P14" s="199">
        <v>12.6</v>
      </c>
      <c r="Q14" s="69">
        <v>6.4000000000000001E-2</v>
      </c>
      <c r="R14" s="69">
        <v>1E-3</v>
      </c>
      <c r="S14" s="199">
        <v>4.2</v>
      </c>
      <c r="T14" s="199">
        <v>0.18</v>
      </c>
      <c r="U14" s="128"/>
      <c r="V14" s="129"/>
      <c r="W14" s="129"/>
      <c r="X14" s="129"/>
    </row>
    <row r="15" spans="1:24" s="118" customFormat="1" ht="22.5" customHeight="1" x14ac:dyDescent="0.2">
      <c r="A15" s="111">
        <v>591</v>
      </c>
      <c r="B15" s="223" t="s">
        <v>105</v>
      </c>
      <c r="C15" s="224"/>
      <c r="D15" s="112">
        <v>120</v>
      </c>
      <c r="E15" s="106">
        <v>45.68</v>
      </c>
      <c r="F15" s="106">
        <v>5.86</v>
      </c>
      <c r="G15" s="106">
        <v>16.309999999999999</v>
      </c>
      <c r="H15" s="106">
        <v>3.07</v>
      </c>
      <c r="I15" s="106">
        <v>182.51</v>
      </c>
      <c r="J15" s="106">
        <v>0.14000000000000001</v>
      </c>
      <c r="K15" s="106">
        <v>0.05</v>
      </c>
      <c r="L15" s="106">
        <v>0.09</v>
      </c>
      <c r="M15" s="106">
        <v>0</v>
      </c>
      <c r="N15" s="106">
        <v>0</v>
      </c>
      <c r="O15" s="106">
        <v>9.5399999999999991</v>
      </c>
      <c r="P15" s="106">
        <v>63.38</v>
      </c>
      <c r="Q15" s="106">
        <v>1.1200000000000001</v>
      </c>
      <c r="R15" s="106">
        <v>2.5499999999999998</v>
      </c>
      <c r="S15" s="106">
        <v>11.3</v>
      </c>
      <c r="T15" s="106">
        <v>0.75</v>
      </c>
      <c r="U15" s="128"/>
      <c r="V15" s="129"/>
      <c r="W15" s="129"/>
      <c r="X15" s="129"/>
    </row>
    <row r="16" spans="1:24" s="118" customFormat="1" ht="19.5" customHeight="1" x14ac:dyDescent="0.2">
      <c r="A16" s="198">
        <v>304</v>
      </c>
      <c r="B16" s="219" t="s">
        <v>98</v>
      </c>
      <c r="C16" s="219"/>
      <c r="D16" s="125">
        <v>180</v>
      </c>
      <c r="E16" s="126">
        <v>8.1999999999999993</v>
      </c>
      <c r="F16" s="126">
        <v>4.4400000000000004</v>
      </c>
      <c r="G16" s="126">
        <v>6.44</v>
      </c>
      <c r="H16" s="126">
        <v>44.01</v>
      </c>
      <c r="I16" s="126">
        <v>251.82</v>
      </c>
      <c r="J16" s="126">
        <v>3.5999999999999997E-2</v>
      </c>
      <c r="K16" s="123">
        <v>2.4E-2</v>
      </c>
      <c r="L16" s="126">
        <v>0</v>
      </c>
      <c r="M16" s="123">
        <v>4.8000000000000001E-2</v>
      </c>
      <c r="N16" s="124">
        <v>0</v>
      </c>
      <c r="O16" s="124">
        <v>17.93</v>
      </c>
      <c r="P16" s="125">
        <v>95.25</v>
      </c>
      <c r="Q16" s="130">
        <v>0</v>
      </c>
      <c r="R16" s="124">
        <v>1E-3</v>
      </c>
      <c r="S16" s="126">
        <v>33.47</v>
      </c>
      <c r="T16" s="128">
        <v>0.70799999999999996</v>
      </c>
      <c r="U16" s="129"/>
      <c r="V16" s="129"/>
      <c r="W16" s="129"/>
      <c r="X16" s="129"/>
    </row>
    <row r="17" spans="1:24" s="118" customFormat="1" ht="12.75" customHeight="1" x14ac:dyDescent="0.2">
      <c r="A17" s="198">
        <v>377</v>
      </c>
      <c r="B17" s="219" t="s">
        <v>45</v>
      </c>
      <c r="C17" s="219"/>
      <c r="D17" s="125">
        <v>200</v>
      </c>
      <c r="E17" s="126">
        <v>3.61</v>
      </c>
      <c r="F17" s="126">
        <v>0.26</v>
      </c>
      <c r="G17" s="126">
        <v>0.06</v>
      </c>
      <c r="H17" s="126">
        <v>15.22</v>
      </c>
      <c r="I17" s="126">
        <f>F17*4+G17*9+H17*4</f>
        <v>62.46</v>
      </c>
      <c r="J17" s="126"/>
      <c r="K17" s="126">
        <v>0.01</v>
      </c>
      <c r="L17" s="126">
        <v>2.9</v>
      </c>
      <c r="M17" s="123">
        <v>0</v>
      </c>
      <c r="N17" s="126">
        <v>0.06</v>
      </c>
      <c r="O17" s="126">
        <v>8.0500000000000007</v>
      </c>
      <c r="P17" s="126">
        <v>9.7799999999999994</v>
      </c>
      <c r="Q17" s="126">
        <v>1.7000000000000001E-2</v>
      </c>
      <c r="R17" s="127">
        <v>0</v>
      </c>
      <c r="S17" s="126">
        <v>5.24</v>
      </c>
      <c r="T17" s="126">
        <v>0.87</v>
      </c>
      <c r="U17" s="128"/>
      <c r="V17" s="129"/>
      <c r="W17" s="129"/>
      <c r="X17" s="129"/>
    </row>
    <row r="18" spans="1:24" s="118" customFormat="1" ht="11.25" customHeight="1" x14ac:dyDescent="0.2">
      <c r="A18" s="131" t="s">
        <v>66</v>
      </c>
      <c r="B18" s="231" t="s">
        <v>53</v>
      </c>
      <c r="C18" s="232"/>
      <c r="D18" s="125">
        <v>40</v>
      </c>
      <c r="E18" s="126">
        <v>3.1</v>
      </c>
      <c r="F18" s="126">
        <f>1.52*D18/30</f>
        <v>2.0266666666666664</v>
      </c>
      <c r="G18" s="127">
        <f>0.16*D18/30</f>
        <v>0.21333333333333335</v>
      </c>
      <c r="H18" s="127">
        <f>9.84*D18/30</f>
        <v>13.120000000000001</v>
      </c>
      <c r="I18" s="127">
        <f>F18*4+G18*9+H18*4</f>
        <v>62.506666666666668</v>
      </c>
      <c r="J18" s="127">
        <f>0.02*D18/30</f>
        <v>2.6666666666666668E-2</v>
      </c>
      <c r="K18" s="127">
        <f>0.01*D18/30</f>
        <v>1.3333333333333334E-2</v>
      </c>
      <c r="L18" s="127">
        <f>0.44*D18/30</f>
        <v>0.58666666666666667</v>
      </c>
      <c r="M18" s="127">
        <v>0</v>
      </c>
      <c r="N18" s="127">
        <f>0.7*D18/30</f>
        <v>0.93333333333333335</v>
      </c>
      <c r="O18" s="127">
        <f>4*D18/30</f>
        <v>5.333333333333333</v>
      </c>
      <c r="P18" s="127">
        <f>13*D18/30</f>
        <v>17.333333333333332</v>
      </c>
      <c r="Q18" s="127">
        <f>0.008*D18/30</f>
        <v>1.0666666666666666E-2</v>
      </c>
      <c r="R18" s="127">
        <f>0.001*D18/30</f>
        <v>1.3333333333333333E-3</v>
      </c>
      <c r="S18" s="127">
        <v>0</v>
      </c>
      <c r="T18" s="127">
        <f>0.22*D18/30</f>
        <v>0.29333333333333333</v>
      </c>
      <c r="U18" s="128"/>
      <c r="V18" s="129"/>
      <c r="W18" s="129"/>
      <c r="X18" s="129"/>
    </row>
    <row r="19" spans="1:24" s="118" customFormat="1" ht="11.25" customHeight="1" x14ac:dyDescent="0.2">
      <c r="A19" s="60" t="e">
        <f>#REF!</f>
        <v>#REF!</v>
      </c>
      <c r="B19" s="61"/>
      <c r="C19" s="61"/>
      <c r="D19" s="62">
        <f t="shared" ref="D19:I19" si="0">SUM(D14:D18)</f>
        <v>580</v>
      </c>
      <c r="E19" s="132">
        <f t="shared" si="0"/>
        <v>70</v>
      </c>
      <c r="F19" s="38">
        <f t="shared" si="0"/>
        <v>12.919999999999998</v>
      </c>
      <c r="G19" s="37">
        <f t="shared" si="0"/>
        <v>23.063333333333333</v>
      </c>
      <c r="H19" s="37">
        <f t="shared" si="0"/>
        <v>76.553333333333327</v>
      </c>
      <c r="I19" s="46">
        <f t="shared" si="0"/>
        <v>565.52333333333331</v>
      </c>
      <c r="J19" s="38">
        <f t="shared" ref="J19:T19" si="1">SUM(J14:J18)</f>
        <v>0.2116666666666667</v>
      </c>
      <c r="K19" s="38">
        <f t="shared" si="1"/>
        <v>0.10733333333333334</v>
      </c>
      <c r="L19" s="38">
        <f t="shared" si="1"/>
        <v>6.5766666666666671</v>
      </c>
      <c r="M19" s="38">
        <f t="shared" si="1"/>
        <v>5.1000000000000004E-2</v>
      </c>
      <c r="N19" s="38">
        <f t="shared" si="1"/>
        <v>1.0233333333333334</v>
      </c>
      <c r="O19" s="38">
        <f t="shared" si="1"/>
        <v>47.753333333333337</v>
      </c>
      <c r="P19" s="38">
        <f t="shared" si="1"/>
        <v>198.34333333333336</v>
      </c>
      <c r="Q19" s="38">
        <f t="shared" si="1"/>
        <v>1.2116666666666667</v>
      </c>
      <c r="R19" s="39">
        <f t="shared" si="1"/>
        <v>2.5533333333333328</v>
      </c>
      <c r="S19" s="38">
        <f t="shared" si="1"/>
        <v>54.21</v>
      </c>
      <c r="T19" s="38">
        <f t="shared" si="1"/>
        <v>2.8013333333333335</v>
      </c>
      <c r="U19" s="37"/>
      <c r="V19" s="120"/>
      <c r="W19" s="120"/>
      <c r="X19" s="120"/>
    </row>
    <row r="20" spans="1:24" s="118" customFormat="1" ht="11.25" customHeight="1" x14ac:dyDescent="0.2">
      <c r="A20" s="220" t="s">
        <v>62</v>
      </c>
      <c r="B20" s="221"/>
      <c r="C20" s="221"/>
      <c r="D20" s="222"/>
      <c r="E20" s="187"/>
      <c r="F20" s="133">
        <f t="shared" ref="F20:T20" si="2">F19/F40</f>
        <v>0.14355555555555555</v>
      </c>
      <c r="G20" s="42">
        <f t="shared" si="2"/>
        <v>0.25068840579710144</v>
      </c>
      <c r="H20" s="42">
        <f t="shared" si="2"/>
        <v>0.19987815491731939</v>
      </c>
      <c r="I20" s="42">
        <f t="shared" si="2"/>
        <v>0.20791299019607842</v>
      </c>
      <c r="J20" s="42">
        <f t="shared" si="2"/>
        <v>0.15119047619047621</v>
      </c>
      <c r="K20" s="42">
        <f t="shared" si="2"/>
        <v>6.7083333333333328E-2</v>
      </c>
      <c r="L20" s="42">
        <f t="shared" si="2"/>
        <v>9.3952380952380954E-2</v>
      </c>
      <c r="M20" s="42">
        <f t="shared" si="2"/>
        <v>5.6666666666666671E-2</v>
      </c>
      <c r="N20" s="42">
        <f t="shared" si="2"/>
        <v>8.5277777777777786E-2</v>
      </c>
      <c r="O20" s="42">
        <f t="shared" si="2"/>
        <v>3.9794444444444445E-2</v>
      </c>
      <c r="P20" s="42">
        <f t="shared" si="2"/>
        <v>0.16528611111111113</v>
      </c>
      <c r="Q20" s="42">
        <f t="shared" si="2"/>
        <v>8.6547619047619054E-2</v>
      </c>
      <c r="R20" s="42">
        <f t="shared" si="2"/>
        <v>25.533333333333328</v>
      </c>
      <c r="S20" s="42">
        <f t="shared" si="2"/>
        <v>0.1807</v>
      </c>
      <c r="T20" s="42">
        <f t="shared" si="2"/>
        <v>0.15562962962962965</v>
      </c>
      <c r="U20" s="122"/>
      <c r="V20" s="120"/>
      <c r="W20" s="120"/>
      <c r="X20" s="120"/>
    </row>
    <row r="21" spans="1:24" s="118" customFormat="1" ht="11.25" hidden="1" customHeight="1" x14ac:dyDescent="0.2">
      <c r="A21" s="186"/>
      <c r="B21" s="187"/>
      <c r="C21" s="187"/>
      <c r="D21" s="187"/>
      <c r="E21" s="146">
        <f>70-E19</f>
        <v>0</v>
      </c>
      <c r="F21" s="13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4"/>
      <c r="U21" s="122"/>
      <c r="V21" s="120"/>
      <c r="W21" s="120"/>
      <c r="X21" s="120"/>
    </row>
    <row r="22" spans="1:24" s="107" customFormat="1" ht="11.25" customHeight="1" x14ac:dyDescent="0.2">
      <c r="A22" s="174" t="s">
        <v>66</v>
      </c>
      <c r="B22" s="200" t="s">
        <v>114</v>
      </c>
      <c r="C22" s="200"/>
      <c r="D22" s="175">
        <v>200</v>
      </c>
      <c r="E22" s="180"/>
      <c r="F22" s="177">
        <v>5.6</v>
      </c>
      <c r="G22" s="177">
        <v>6.4</v>
      </c>
      <c r="H22" s="177">
        <v>9.4</v>
      </c>
      <c r="I22" s="177">
        <v>117.6</v>
      </c>
      <c r="J22" s="177">
        <v>0.08</v>
      </c>
      <c r="K22" s="177">
        <v>0.307</v>
      </c>
      <c r="L22" s="177">
        <v>2.6</v>
      </c>
      <c r="M22" s="177">
        <v>6.7000000000000004E-2</v>
      </c>
      <c r="N22" s="177">
        <v>0.29199999999999998</v>
      </c>
      <c r="O22" s="177">
        <v>240</v>
      </c>
      <c r="P22" s="177">
        <v>180</v>
      </c>
      <c r="Q22" s="177">
        <v>0.8</v>
      </c>
      <c r="R22" s="177">
        <v>1.7999999999999999E-2</v>
      </c>
      <c r="S22" s="177">
        <v>28</v>
      </c>
      <c r="T22" s="177">
        <v>0.12</v>
      </c>
    </row>
    <row r="23" spans="1:24" s="118" customFormat="1" ht="11.25" customHeight="1" x14ac:dyDescent="0.2">
      <c r="A23" s="244" t="e">
        <f>#REF!</f>
        <v>#REF!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6"/>
      <c r="U23" s="10"/>
      <c r="V23" s="23"/>
      <c r="W23" s="23"/>
      <c r="X23" s="23"/>
    </row>
    <row r="24" spans="1:24" s="118" customFormat="1" ht="21" customHeight="1" x14ac:dyDescent="0.2">
      <c r="A24" s="198">
        <v>45</v>
      </c>
      <c r="B24" s="219" t="s">
        <v>84</v>
      </c>
      <c r="C24" s="219"/>
      <c r="D24" s="125">
        <v>100</v>
      </c>
      <c r="E24" s="126">
        <v>8.44</v>
      </c>
      <c r="F24" s="126">
        <f>0.9*D24/60</f>
        <v>1.5</v>
      </c>
      <c r="G24" s="126">
        <f>1.31*D24/60</f>
        <v>2.1833333333333331</v>
      </c>
      <c r="H24" s="126">
        <f>5.6*D24/60</f>
        <v>9.3333333333333339</v>
      </c>
      <c r="I24" s="126">
        <f>F24*4+G24*9+H24*4</f>
        <v>62.983333333333334</v>
      </c>
      <c r="J24" s="126">
        <f>0.06*D24/60</f>
        <v>0.1</v>
      </c>
      <c r="K24" s="126">
        <f>0.07*D24/60</f>
        <v>0.11666666666666668</v>
      </c>
      <c r="L24" s="126">
        <f>15.5*D24/60</f>
        <v>25.833333333333332</v>
      </c>
      <c r="M24" s="127">
        <f>0.071*D24/60</f>
        <v>0.11833333333333333</v>
      </c>
      <c r="N24" s="126">
        <f>0.3*D24/60</f>
        <v>0.5</v>
      </c>
      <c r="O24" s="126">
        <f>28.2*D24/60</f>
        <v>47</v>
      </c>
      <c r="P24" s="126">
        <f>18.9*D24/60</f>
        <v>31.499999999999996</v>
      </c>
      <c r="Q24" s="126">
        <f>0.2*D24/60</f>
        <v>0.33333333333333331</v>
      </c>
      <c r="R24" s="127">
        <f>0.001*D24/60</f>
        <v>1.6666666666666668E-3</v>
      </c>
      <c r="S24" s="126">
        <f>10.5*D24/60</f>
        <v>17.5</v>
      </c>
      <c r="T24" s="126">
        <f>0.6*D24/60</f>
        <v>1</v>
      </c>
      <c r="U24" s="128"/>
      <c r="V24" s="129"/>
      <c r="W24" s="129"/>
      <c r="X24" s="129"/>
    </row>
    <row r="25" spans="1:24" s="118" customFormat="1" x14ac:dyDescent="0.2">
      <c r="A25" s="131">
        <v>108</v>
      </c>
      <c r="B25" s="231" t="s">
        <v>103</v>
      </c>
      <c r="C25" s="232"/>
      <c r="D25" s="123">
        <v>250</v>
      </c>
      <c r="E25" s="126">
        <v>11.87</v>
      </c>
      <c r="F25" s="126">
        <f>2.52*D25/200</f>
        <v>3.15</v>
      </c>
      <c r="G25" s="127">
        <f>2.84*D25/200</f>
        <v>3.55</v>
      </c>
      <c r="H25" s="127">
        <f>16.67*D25/200</f>
        <v>20.837499999999999</v>
      </c>
      <c r="I25" s="126">
        <f>F25*4+G25*9+H25*4</f>
        <v>127.89999999999999</v>
      </c>
      <c r="J25" s="127">
        <f>0.07*D25/200</f>
        <v>8.7499999999999994E-2</v>
      </c>
      <c r="K25" s="127">
        <f>0.06*D25/200</f>
        <v>7.4999999999999997E-2</v>
      </c>
      <c r="L25" s="127">
        <f>9.05*D25/200</f>
        <v>11.3125</v>
      </c>
      <c r="M25" s="127">
        <v>0.59</v>
      </c>
      <c r="N25" s="127">
        <f>0.7*D25/200</f>
        <v>0.875</v>
      </c>
      <c r="O25" s="127">
        <f>20.59*D25/200</f>
        <v>25.737500000000001</v>
      </c>
      <c r="P25" s="127">
        <f>48.19*D25/200</f>
        <v>60.237499999999997</v>
      </c>
      <c r="Q25" s="127">
        <f>0.2*D25/200</f>
        <v>0.25</v>
      </c>
      <c r="R25" s="127">
        <f>0.001*D25/200</f>
        <v>1.25E-3</v>
      </c>
      <c r="S25" s="127">
        <f>14.56*D25/200</f>
        <v>18.2</v>
      </c>
      <c r="T25" s="127">
        <f>0.74*D25/200</f>
        <v>0.92500000000000004</v>
      </c>
      <c r="U25" s="128"/>
      <c r="V25" s="129"/>
      <c r="W25" s="129"/>
      <c r="X25" s="129"/>
    </row>
    <row r="26" spans="1:24" s="118" customFormat="1" ht="13.5" customHeight="1" x14ac:dyDescent="0.2">
      <c r="A26" s="198">
        <v>259</v>
      </c>
      <c r="B26" s="231" t="s">
        <v>51</v>
      </c>
      <c r="C26" s="232"/>
      <c r="D26" s="125">
        <v>240</v>
      </c>
      <c r="E26" s="126">
        <v>52.02</v>
      </c>
      <c r="F26" s="126">
        <f>D26*14.27/200</f>
        <v>17.123999999999999</v>
      </c>
      <c r="G26" s="126">
        <f>D26*15.01/200</f>
        <v>18.012</v>
      </c>
      <c r="H26" s="126">
        <f>D26*25.51/200</f>
        <v>30.612000000000002</v>
      </c>
      <c r="I26" s="126">
        <f>F26*4+G26*9+H26*4</f>
        <v>353.05200000000002</v>
      </c>
      <c r="J26" s="126">
        <f>D26*0.22/200</f>
        <v>0.26400000000000001</v>
      </c>
      <c r="K26" s="126">
        <f>D26*0.2/200</f>
        <v>0.24</v>
      </c>
      <c r="L26" s="126">
        <f>D26*31.3/200</f>
        <v>37.56</v>
      </c>
      <c r="M26" s="127">
        <v>7.0000000000000007E-2</v>
      </c>
      <c r="N26" s="123">
        <v>0.42</v>
      </c>
      <c r="O26" s="126">
        <f>D26*42.2/200</f>
        <v>50.64</v>
      </c>
      <c r="P26" s="124">
        <f>D26*218.18/200</f>
        <v>261.81600000000003</v>
      </c>
      <c r="Q26" s="124">
        <v>4.2</v>
      </c>
      <c r="R26" s="127">
        <v>1.6999999999999999E-3</v>
      </c>
      <c r="S26" s="126">
        <f>D26*55.87/200</f>
        <v>67.043999999999997</v>
      </c>
      <c r="T26" s="126">
        <f>D26*3.32/200</f>
        <v>3.984</v>
      </c>
      <c r="U26" s="128"/>
      <c r="V26" s="129"/>
      <c r="W26" s="129"/>
      <c r="X26" s="129"/>
    </row>
    <row r="27" spans="1:24" s="118" customFormat="1" x14ac:dyDescent="0.2">
      <c r="A27" s="111">
        <v>345</v>
      </c>
      <c r="B27" s="230" t="s">
        <v>49</v>
      </c>
      <c r="C27" s="230"/>
      <c r="D27" s="115">
        <v>200</v>
      </c>
      <c r="E27" s="106">
        <v>4.9000000000000004</v>
      </c>
      <c r="F27" s="106">
        <v>0.06</v>
      </c>
      <c r="G27" s="106">
        <v>0.02</v>
      </c>
      <c r="H27" s="106">
        <v>20.73</v>
      </c>
      <c r="I27" s="106">
        <v>83.34</v>
      </c>
      <c r="J27" s="106">
        <v>0</v>
      </c>
      <c r="K27" s="106">
        <v>0</v>
      </c>
      <c r="L27" s="106">
        <v>2.5</v>
      </c>
      <c r="M27" s="106">
        <v>4.0000000000000001E-3</v>
      </c>
      <c r="N27" s="106">
        <v>0.2</v>
      </c>
      <c r="O27" s="106">
        <v>4</v>
      </c>
      <c r="P27" s="106">
        <v>3.3</v>
      </c>
      <c r="Q27" s="106">
        <v>0.08</v>
      </c>
      <c r="R27" s="106">
        <v>1E-3</v>
      </c>
      <c r="S27" s="106">
        <v>1.7</v>
      </c>
      <c r="T27" s="106">
        <v>0.15</v>
      </c>
      <c r="U27" s="128"/>
      <c r="V27" s="129"/>
      <c r="W27" s="129"/>
      <c r="X27" s="129"/>
    </row>
    <row r="28" spans="1:24" s="118" customFormat="1" ht="11.25" customHeight="1" x14ac:dyDescent="0.2">
      <c r="A28" s="67" t="s">
        <v>66</v>
      </c>
      <c r="B28" s="231" t="s">
        <v>46</v>
      </c>
      <c r="C28" s="232"/>
      <c r="D28" s="125">
        <v>40</v>
      </c>
      <c r="E28" s="126">
        <v>2.04</v>
      </c>
      <c r="F28" s="126">
        <f>2.64*D28/40</f>
        <v>2.64</v>
      </c>
      <c r="G28" s="126">
        <f>0.48*D28/40</f>
        <v>0.48</v>
      </c>
      <c r="H28" s="126">
        <f>13.68*D28/40</f>
        <v>13.680000000000001</v>
      </c>
      <c r="I28" s="124">
        <f>F28*4+G28*9+H28*4</f>
        <v>69.600000000000009</v>
      </c>
      <c r="J28" s="123">
        <f>0.08*D28/40</f>
        <v>0.08</v>
      </c>
      <c r="K28" s="126">
        <f>0.04*D28/40</f>
        <v>0.04</v>
      </c>
      <c r="L28" s="125">
        <v>0</v>
      </c>
      <c r="M28" s="125">
        <v>0</v>
      </c>
      <c r="N28" s="126">
        <f>2.4*D28/40</f>
        <v>2.4</v>
      </c>
      <c r="O28" s="126">
        <f>14*D28/40</f>
        <v>14</v>
      </c>
      <c r="P28" s="126">
        <f>63.2*D28/40</f>
        <v>63.2</v>
      </c>
      <c r="Q28" s="126">
        <f>1.2*D28/40</f>
        <v>1.2</v>
      </c>
      <c r="R28" s="127">
        <f>0.001*D28/40</f>
        <v>1E-3</v>
      </c>
      <c r="S28" s="126">
        <f>9.4*D28/40</f>
        <v>9.4</v>
      </c>
      <c r="T28" s="123">
        <f>0.78*D28/40</f>
        <v>0.78</v>
      </c>
      <c r="U28" s="29"/>
      <c r="V28" s="30"/>
      <c r="W28" s="30"/>
      <c r="X28" s="30"/>
    </row>
    <row r="29" spans="1:24" x14ac:dyDescent="0.2">
      <c r="A29" s="156" t="s">
        <v>66</v>
      </c>
      <c r="B29" s="250" t="s">
        <v>107</v>
      </c>
      <c r="C29" s="242"/>
      <c r="D29" s="156">
        <v>40</v>
      </c>
      <c r="E29" s="157">
        <v>7.63</v>
      </c>
      <c r="F29" s="157">
        <v>0.65</v>
      </c>
      <c r="G29" s="158">
        <v>3.8</v>
      </c>
      <c r="H29" s="159">
        <v>17.600000000000001</v>
      </c>
      <c r="I29" s="157">
        <v>38</v>
      </c>
      <c r="J29" s="157">
        <v>2.5999999999999999E-2</v>
      </c>
      <c r="K29" s="157">
        <v>0.03</v>
      </c>
      <c r="L29" s="157">
        <v>0.13</v>
      </c>
      <c r="M29" s="157">
        <v>11.96</v>
      </c>
      <c r="N29" s="158">
        <v>0.39</v>
      </c>
      <c r="O29" s="157">
        <v>24.18</v>
      </c>
      <c r="P29" s="157">
        <v>49.4</v>
      </c>
      <c r="Q29" s="160">
        <v>0.2</v>
      </c>
      <c r="R29" s="157">
        <v>2E-3</v>
      </c>
      <c r="S29" s="157">
        <v>18.72</v>
      </c>
      <c r="T29" s="157">
        <v>0.182</v>
      </c>
      <c r="U29"/>
      <c r="V29"/>
      <c r="W29"/>
      <c r="X29"/>
    </row>
    <row r="30" spans="1:24" s="118" customFormat="1" ht="11.25" customHeight="1" x14ac:dyDescent="0.2">
      <c r="A30" s="131" t="s">
        <v>66</v>
      </c>
      <c r="B30" s="231" t="s">
        <v>53</v>
      </c>
      <c r="C30" s="232"/>
      <c r="D30" s="125">
        <v>40</v>
      </c>
      <c r="E30" s="126">
        <v>3.1</v>
      </c>
      <c r="F30" s="126">
        <f>1.52*D30/30</f>
        <v>2.0266666666666664</v>
      </c>
      <c r="G30" s="127">
        <f>0.16*D30/30</f>
        <v>0.21333333333333335</v>
      </c>
      <c r="H30" s="127">
        <f>9.84*D30/30</f>
        <v>13.120000000000001</v>
      </c>
      <c r="I30" s="127">
        <f>F30*4+G30*9+H30*4</f>
        <v>62.506666666666668</v>
      </c>
      <c r="J30" s="127">
        <f>0.02*D30/30</f>
        <v>2.6666666666666668E-2</v>
      </c>
      <c r="K30" s="127">
        <f>0.01*D30/30</f>
        <v>1.3333333333333334E-2</v>
      </c>
      <c r="L30" s="127">
        <f>0.44*D30/30</f>
        <v>0.58666666666666667</v>
      </c>
      <c r="M30" s="127">
        <v>0</v>
      </c>
      <c r="N30" s="127">
        <f>0.7*D30/30</f>
        <v>0.93333333333333335</v>
      </c>
      <c r="O30" s="127">
        <f>4*D30/30</f>
        <v>5.333333333333333</v>
      </c>
      <c r="P30" s="127">
        <f>13*D30/30</f>
        <v>17.333333333333332</v>
      </c>
      <c r="Q30" s="127">
        <f>0.008*D30/30</f>
        <v>1.0666666666666666E-2</v>
      </c>
      <c r="R30" s="127">
        <f>0.001*D30/30</f>
        <v>1.3333333333333333E-3</v>
      </c>
      <c r="S30" s="127">
        <v>0</v>
      </c>
      <c r="T30" s="127">
        <f>0.22*D30/30</f>
        <v>0.29333333333333333</v>
      </c>
      <c r="U30" s="128"/>
      <c r="V30" s="129"/>
      <c r="W30" s="129"/>
      <c r="X30" s="129"/>
    </row>
    <row r="31" spans="1:24" s="118" customFormat="1" ht="11.25" customHeight="1" x14ac:dyDescent="0.2">
      <c r="A31" s="58" t="s">
        <v>29</v>
      </c>
      <c r="B31" s="59"/>
      <c r="C31" s="59"/>
      <c r="D31" s="62">
        <f t="shared" ref="D31:T31" si="3">SUM(D24:D30)</f>
        <v>910</v>
      </c>
      <c r="E31" s="132">
        <f t="shared" si="3"/>
        <v>90</v>
      </c>
      <c r="F31" s="38">
        <f t="shared" si="3"/>
        <v>27.150666666666666</v>
      </c>
      <c r="G31" s="37">
        <f t="shared" si="3"/>
        <v>28.25866666666667</v>
      </c>
      <c r="H31" s="37">
        <f t="shared" si="3"/>
        <v>125.91283333333334</v>
      </c>
      <c r="I31" s="37">
        <f t="shared" si="3"/>
        <v>797.38200000000006</v>
      </c>
      <c r="J31" s="37">
        <f t="shared" si="3"/>
        <v>0.58416666666666661</v>
      </c>
      <c r="K31" s="37">
        <f t="shared" si="3"/>
        <v>0.5149999999999999</v>
      </c>
      <c r="L31" s="37">
        <f t="shared" si="3"/>
        <v>77.922499999999999</v>
      </c>
      <c r="M31" s="37">
        <f t="shared" si="3"/>
        <v>12.742333333333335</v>
      </c>
      <c r="N31" s="37">
        <f t="shared" si="3"/>
        <v>5.7183333333333328</v>
      </c>
      <c r="O31" s="37">
        <f t="shared" si="3"/>
        <v>170.89083333333335</v>
      </c>
      <c r="P31" s="37">
        <f t="shared" si="3"/>
        <v>486.78683333333333</v>
      </c>
      <c r="Q31" s="37">
        <f t="shared" si="3"/>
        <v>6.274</v>
      </c>
      <c r="R31" s="37">
        <f t="shared" si="3"/>
        <v>9.9500000000000005E-3</v>
      </c>
      <c r="S31" s="37">
        <f t="shared" si="3"/>
        <v>132.56400000000002</v>
      </c>
      <c r="T31" s="37">
        <f t="shared" si="3"/>
        <v>7.3143333333333338</v>
      </c>
      <c r="U31" s="37"/>
      <c r="V31" s="120"/>
      <c r="W31" s="120"/>
      <c r="X31" s="120"/>
    </row>
    <row r="32" spans="1:24" s="118" customFormat="1" ht="11.25" customHeight="1" x14ac:dyDescent="0.2">
      <c r="A32" s="220" t="s">
        <v>62</v>
      </c>
      <c r="B32" s="221"/>
      <c r="C32" s="221"/>
      <c r="D32" s="222"/>
      <c r="E32" s="187"/>
      <c r="F32" s="133">
        <f t="shared" ref="F32:T32" si="4">F31/F40</f>
        <v>0.30167407407407409</v>
      </c>
      <c r="G32" s="42">
        <f t="shared" si="4"/>
        <v>0.3071594202898551</v>
      </c>
      <c r="H32" s="42">
        <f t="shared" si="4"/>
        <v>0.32875413402959097</v>
      </c>
      <c r="I32" s="42">
        <f t="shared" si="4"/>
        <v>0.29315514705882356</v>
      </c>
      <c r="J32" s="42">
        <f t="shared" si="4"/>
        <v>0.41726190476190472</v>
      </c>
      <c r="K32" s="42">
        <f t="shared" si="4"/>
        <v>0.32187499999999991</v>
      </c>
      <c r="L32" s="42">
        <f t="shared" si="4"/>
        <v>1.1131785714285714</v>
      </c>
      <c r="M32" s="42">
        <f t="shared" si="4"/>
        <v>14.158148148148149</v>
      </c>
      <c r="N32" s="42">
        <f t="shared" si="4"/>
        <v>0.47652777777777772</v>
      </c>
      <c r="O32" s="42">
        <f t="shared" si="4"/>
        <v>0.14240902777777778</v>
      </c>
      <c r="P32" s="42">
        <f t="shared" si="4"/>
        <v>0.40565569444444444</v>
      </c>
      <c r="Q32" s="42">
        <f t="shared" si="4"/>
        <v>0.44814285714285712</v>
      </c>
      <c r="R32" s="42">
        <f t="shared" si="4"/>
        <v>9.9500000000000005E-2</v>
      </c>
      <c r="S32" s="42">
        <f t="shared" si="4"/>
        <v>0.44188000000000005</v>
      </c>
      <c r="T32" s="42">
        <f t="shared" si="4"/>
        <v>0.40635185185185185</v>
      </c>
      <c r="U32" s="122"/>
      <c r="V32" s="120"/>
      <c r="W32" s="120"/>
      <c r="X32" s="120"/>
    </row>
    <row r="33" spans="1:24" s="118" customFormat="1" ht="11.25" hidden="1" customHeight="1" x14ac:dyDescent="0.2">
      <c r="A33" s="186"/>
      <c r="B33" s="187"/>
      <c r="C33" s="187"/>
      <c r="D33" s="187"/>
      <c r="E33" s="146">
        <f>90-E31</f>
        <v>0</v>
      </c>
      <c r="F33" s="13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4"/>
      <c r="U33" s="122"/>
      <c r="V33" s="120"/>
      <c r="W33" s="120"/>
      <c r="X33" s="120"/>
    </row>
    <row r="34" spans="1:24" s="118" customFormat="1" ht="11.25" customHeight="1" x14ac:dyDescent="0.2">
      <c r="A34" s="227" t="s">
        <v>30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9"/>
      <c r="U34" s="10"/>
      <c r="V34" s="23"/>
      <c r="W34" s="23"/>
      <c r="X34" s="23"/>
    </row>
    <row r="35" spans="1:24" s="107" customFormat="1" ht="11.25" customHeight="1" x14ac:dyDescent="0.2">
      <c r="A35" s="113"/>
      <c r="B35" s="238"/>
      <c r="C35" s="238"/>
      <c r="D35" s="109"/>
      <c r="E35" s="108"/>
      <c r="F35" s="108"/>
      <c r="G35" s="108"/>
      <c r="H35" s="108"/>
      <c r="I35" s="108"/>
      <c r="J35" s="108"/>
      <c r="K35" s="108"/>
      <c r="L35" s="170"/>
      <c r="M35" s="108"/>
      <c r="N35" s="169"/>
      <c r="O35" s="170"/>
      <c r="P35" s="108"/>
      <c r="Q35" s="170"/>
      <c r="R35" s="109"/>
      <c r="S35" s="108"/>
      <c r="T35" s="108"/>
    </row>
    <row r="36" spans="1:24" s="118" customFormat="1" ht="12.75" customHeight="1" x14ac:dyDescent="0.2">
      <c r="A36" s="198"/>
      <c r="B36" s="219"/>
      <c r="C36" s="219"/>
      <c r="D36" s="125"/>
      <c r="E36" s="126"/>
      <c r="F36" s="126"/>
      <c r="G36" s="126"/>
      <c r="H36" s="126"/>
      <c r="I36" s="126"/>
      <c r="J36" s="126"/>
      <c r="K36" s="126"/>
      <c r="L36" s="126"/>
      <c r="M36" s="123"/>
      <c r="N36" s="126"/>
      <c r="O36" s="126"/>
      <c r="P36" s="126"/>
      <c r="Q36" s="126"/>
      <c r="R36" s="127"/>
      <c r="S36" s="126"/>
      <c r="T36" s="126"/>
      <c r="U36" s="128"/>
      <c r="V36" s="129"/>
      <c r="W36" s="129"/>
      <c r="X36" s="129"/>
    </row>
    <row r="37" spans="1:24" s="1" customFormat="1" ht="11.25" customHeight="1" x14ac:dyDescent="0.2">
      <c r="A37" s="58" t="s">
        <v>31</v>
      </c>
      <c r="B37" s="59"/>
      <c r="C37" s="59"/>
      <c r="D37" s="62"/>
      <c r="E37" s="179">
        <f>SUM(E35:E36)</f>
        <v>0</v>
      </c>
      <c r="F37" s="38">
        <f>SUM(F35:F36)</f>
        <v>0</v>
      </c>
      <c r="G37" s="37">
        <f>SUM(G35:G36)</f>
        <v>0</v>
      </c>
      <c r="H37" s="37">
        <f>SUM(H35:H36)</f>
        <v>0</v>
      </c>
      <c r="I37" s="37">
        <f>SUM(I35:I36)</f>
        <v>0</v>
      </c>
      <c r="J37" s="38">
        <f t="shared" ref="J37:T37" si="5">SUM(J35:J36)</f>
        <v>0</v>
      </c>
      <c r="K37" s="38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39">
        <f t="shared" si="5"/>
        <v>0</v>
      </c>
      <c r="S37" s="37">
        <f t="shared" si="5"/>
        <v>0</v>
      </c>
      <c r="T37" s="38">
        <f t="shared" si="5"/>
        <v>0</v>
      </c>
      <c r="U37" s="37"/>
      <c r="V37" s="120"/>
      <c r="W37" s="120"/>
      <c r="X37" s="120"/>
    </row>
    <row r="38" spans="1:24" s="1" customFormat="1" ht="11.25" customHeight="1" x14ac:dyDescent="0.2">
      <c r="A38" s="220" t="s">
        <v>62</v>
      </c>
      <c r="B38" s="221"/>
      <c r="C38" s="221"/>
      <c r="D38" s="222"/>
      <c r="E38" s="188"/>
      <c r="F38" s="66">
        <f>F37/F40</f>
        <v>0</v>
      </c>
      <c r="G38" s="42">
        <f t="shared" ref="G38:T38" si="6">G37/G40</f>
        <v>0</v>
      </c>
      <c r="H38" s="42">
        <f t="shared" si="6"/>
        <v>0</v>
      </c>
      <c r="I38" s="42">
        <f t="shared" si="6"/>
        <v>0</v>
      </c>
      <c r="J38" s="42">
        <f t="shared" si="6"/>
        <v>0</v>
      </c>
      <c r="K38" s="42">
        <f t="shared" si="6"/>
        <v>0</v>
      </c>
      <c r="L38" s="42">
        <f t="shared" si="6"/>
        <v>0</v>
      </c>
      <c r="M38" s="42">
        <f t="shared" si="6"/>
        <v>0</v>
      </c>
      <c r="N38" s="42">
        <f t="shared" si="6"/>
        <v>0</v>
      </c>
      <c r="O38" s="42">
        <f t="shared" si="6"/>
        <v>0</v>
      </c>
      <c r="P38" s="42">
        <f t="shared" si="6"/>
        <v>0</v>
      </c>
      <c r="Q38" s="42">
        <f t="shared" si="6"/>
        <v>0</v>
      </c>
      <c r="R38" s="42">
        <f t="shared" si="6"/>
        <v>0</v>
      </c>
      <c r="S38" s="42">
        <f t="shared" si="6"/>
        <v>0</v>
      </c>
      <c r="T38" s="42">
        <f t="shared" si="6"/>
        <v>0</v>
      </c>
      <c r="U38" s="122"/>
      <c r="V38" s="120"/>
      <c r="W38" s="120"/>
      <c r="X38" s="120"/>
    </row>
    <row r="39" spans="1:24" s="1" customFormat="1" ht="11.25" customHeight="1" x14ac:dyDescent="0.2">
      <c r="A39" s="235" t="s">
        <v>61</v>
      </c>
      <c r="B39" s="236"/>
      <c r="C39" s="236"/>
      <c r="D39" s="237"/>
      <c r="E39" s="193"/>
      <c r="F39" s="38">
        <f t="shared" ref="F39:T39" si="7">SUM(F19,F31,F37)</f>
        <v>40.070666666666668</v>
      </c>
      <c r="G39" s="37">
        <f t="shared" si="7"/>
        <v>51.322000000000003</v>
      </c>
      <c r="H39" s="37">
        <f t="shared" si="7"/>
        <v>202.46616666666665</v>
      </c>
      <c r="I39" s="37">
        <f t="shared" si="7"/>
        <v>1362.9053333333334</v>
      </c>
      <c r="J39" s="38">
        <f t="shared" si="7"/>
        <v>0.79583333333333328</v>
      </c>
      <c r="K39" s="38">
        <f t="shared" si="7"/>
        <v>0.62233333333333318</v>
      </c>
      <c r="L39" s="37">
        <f t="shared" si="7"/>
        <v>84.499166666666667</v>
      </c>
      <c r="M39" s="38">
        <f t="shared" si="7"/>
        <v>12.793333333333335</v>
      </c>
      <c r="N39" s="38">
        <f t="shared" si="7"/>
        <v>6.7416666666666663</v>
      </c>
      <c r="O39" s="37">
        <f t="shared" si="7"/>
        <v>218.64416666666668</v>
      </c>
      <c r="P39" s="37">
        <f t="shared" si="7"/>
        <v>685.1301666666667</v>
      </c>
      <c r="Q39" s="38">
        <f t="shared" si="7"/>
        <v>7.4856666666666669</v>
      </c>
      <c r="R39" s="39">
        <f t="shared" si="7"/>
        <v>2.5632833333333327</v>
      </c>
      <c r="S39" s="38">
        <f t="shared" si="7"/>
        <v>186.77400000000003</v>
      </c>
      <c r="T39" s="38">
        <f t="shared" si="7"/>
        <v>10.115666666666668</v>
      </c>
      <c r="U39" s="40"/>
      <c r="V39" s="120"/>
      <c r="W39" s="120"/>
      <c r="X39" s="120"/>
    </row>
    <row r="40" spans="1:24" s="1" customFormat="1" ht="11.25" customHeight="1" x14ac:dyDescent="0.2">
      <c r="A40" s="235" t="s">
        <v>63</v>
      </c>
      <c r="B40" s="236"/>
      <c r="C40" s="236"/>
      <c r="D40" s="237"/>
      <c r="E40" s="193"/>
      <c r="F40" s="126">
        <v>90</v>
      </c>
      <c r="G40" s="124">
        <v>92</v>
      </c>
      <c r="H40" s="124">
        <v>383</v>
      </c>
      <c r="I40" s="124">
        <v>2720</v>
      </c>
      <c r="J40" s="126">
        <v>1.4</v>
      </c>
      <c r="K40" s="126">
        <v>1.6</v>
      </c>
      <c r="L40" s="125">
        <v>70</v>
      </c>
      <c r="M40" s="126">
        <v>0.9</v>
      </c>
      <c r="N40" s="125">
        <v>12</v>
      </c>
      <c r="O40" s="125">
        <v>1200</v>
      </c>
      <c r="P40" s="125">
        <v>1200</v>
      </c>
      <c r="Q40" s="125">
        <v>14</v>
      </c>
      <c r="R40" s="124">
        <v>0.1</v>
      </c>
      <c r="S40" s="125">
        <v>300</v>
      </c>
      <c r="T40" s="126">
        <v>18</v>
      </c>
      <c r="U40" s="128"/>
      <c r="V40" s="129"/>
      <c r="W40" s="129"/>
      <c r="X40" s="129"/>
    </row>
    <row r="41" spans="1:24" s="1" customFormat="1" ht="11.25" customHeight="1" x14ac:dyDescent="0.2">
      <c r="A41" s="220" t="s">
        <v>62</v>
      </c>
      <c r="B41" s="221"/>
      <c r="C41" s="221"/>
      <c r="D41" s="222"/>
      <c r="E41" s="188"/>
      <c r="F41" s="66">
        <f t="shared" ref="F41:T41" si="8">F39/F40</f>
        <v>0.44522962962962964</v>
      </c>
      <c r="G41" s="42">
        <f t="shared" si="8"/>
        <v>0.5578478260869566</v>
      </c>
      <c r="H41" s="42">
        <f t="shared" si="8"/>
        <v>0.52863228894691028</v>
      </c>
      <c r="I41" s="42">
        <f t="shared" si="8"/>
        <v>0.50106813725490196</v>
      </c>
      <c r="J41" s="42">
        <f t="shared" si="8"/>
        <v>0.56845238095238093</v>
      </c>
      <c r="K41" s="42">
        <f t="shared" si="8"/>
        <v>0.38895833333333324</v>
      </c>
      <c r="L41" s="43">
        <f t="shared" si="8"/>
        <v>1.2071309523809524</v>
      </c>
      <c r="M41" s="43">
        <f t="shared" si="8"/>
        <v>14.214814814814815</v>
      </c>
      <c r="N41" s="43">
        <f t="shared" si="8"/>
        <v>0.56180555555555556</v>
      </c>
      <c r="O41" s="42">
        <f t="shared" si="8"/>
        <v>0.18220347222222222</v>
      </c>
      <c r="P41" s="42">
        <f t="shared" si="8"/>
        <v>0.57094180555555563</v>
      </c>
      <c r="Q41" s="42">
        <f t="shared" si="8"/>
        <v>0.53469047619047616</v>
      </c>
      <c r="R41" s="43">
        <f t="shared" si="8"/>
        <v>25.632833333333327</v>
      </c>
      <c r="S41" s="42">
        <f t="shared" si="8"/>
        <v>0.62258000000000013</v>
      </c>
      <c r="T41" s="43">
        <f t="shared" si="8"/>
        <v>0.56198148148148153</v>
      </c>
      <c r="U41" s="44"/>
      <c r="V41" s="45"/>
      <c r="W41" s="45"/>
      <c r="X41" s="45"/>
    </row>
    <row r="42" spans="1:24" s="1" customFormat="1" ht="11.25" customHeight="1" x14ac:dyDescent="0.2">
      <c r="A42" s="51"/>
      <c r="B42" s="51"/>
      <c r="C42" s="185"/>
      <c r="D42" s="185"/>
      <c r="E42" s="185"/>
      <c r="F42" s="91"/>
      <c r="G42" s="118"/>
      <c r="H42" s="2"/>
      <c r="I42" s="2"/>
      <c r="J42" s="118"/>
      <c r="K42" s="118"/>
      <c r="L42" s="118"/>
      <c r="M42" s="206" t="s">
        <v>65</v>
      </c>
      <c r="N42" s="206"/>
      <c r="O42" s="206"/>
      <c r="P42" s="206"/>
      <c r="Q42" s="206"/>
      <c r="R42" s="206"/>
      <c r="S42" s="206"/>
      <c r="T42" s="206"/>
      <c r="U42" s="11"/>
      <c r="V42" s="18"/>
      <c r="W42" s="18"/>
      <c r="X42" s="18"/>
    </row>
    <row r="43" spans="1:24" s="1" customFormat="1" ht="11.25" customHeight="1" x14ac:dyDescent="0.2">
      <c r="A43" s="51"/>
      <c r="B43" s="51"/>
      <c r="C43" s="185"/>
      <c r="D43" s="185"/>
      <c r="E43" s="185"/>
      <c r="F43" s="91"/>
      <c r="G43" s="118"/>
      <c r="H43" s="2"/>
      <c r="I43" s="2"/>
      <c r="J43" s="118"/>
      <c r="K43" s="118"/>
      <c r="L43" s="118"/>
      <c r="M43" s="184"/>
      <c r="N43" s="184"/>
      <c r="O43" s="184"/>
      <c r="P43" s="184"/>
      <c r="Q43" s="184"/>
      <c r="R43" s="184"/>
      <c r="S43" s="184"/>
      <c r="T43" s="184"/>
      <c r="U43" s="11"/>
      <c r="V43" s="18"/>
      <c r="W43" s="18"/>
      <c r="X43" s="18"/>
    </row>
    <row r="44" spans="1:24" ht="11.25" customHeight="1" x14ac:dyDescent="0.2">
      <c r="A44" s="51"/>
      <c r="B44" s="51"/>
      <c r="C44" s="51"/>
      <c r="D44" s="118"/>
      <c r="E44" s="118"/>
      <c r="F44" s="119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3"/>
      <c r="V44" s="19"/>
      <c r="W44" s="19"/>
      <c r="X44" s="19"/>
    </row>
    <row r="45" spans="1:24" ht="29.25" customHeight="1" x14ac:dyDescent="0.2">
      <c r="A45" s="254" t="s">
        <v>67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13"/>
      <c r="V45" s="19"/>
      <c r="W45" s="19"/>
      <c r="X45" s="19"/>
    </row>
    <row r="46" spans="1:24" ht="29.25" customHeight="1" x14ac:dyDescent="0.2">
      <c r="A46" s="52"/>
      <c r="B46" s="52"/>
      <c r="C46" s="52"/>
      <c r="D46" s="3"/>
      <c r="E46" s="3"/>
      <c r="F46" s="92"/>
      <c r="G46" s="3"/>
      <c r="H46" s="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6"/>
      <c r="V46" s="19"/>
      <c r="W46" s="19"/>
      <c r="X46" s="19"/>
    </row>
    <row r="47" spans="1:24" s="84" customFormat="1" ht="13.5" customHeight="1" x14ac:dyDescent="0.2">
      <c r="A47" s="85"/>
      <c r="B47" s="85"/>
      <c r="C47" s="85"/>
      <c r="D47" s="85"/>
      <c r="E47" s="85"/>
      <c r="F47" s="93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6"/>
      <c r="W47" s="83"/>
      <c r="X47" s="83"/>
    </row>
  </sheetData>
  <autoFilter ref="B1:B47"/>
  <mergeCells count="53">
    <mergeCell ref="N5:T5"/>
    <mergeCell ref="M1:T1"/>
    <mergeCell ref="U1:U5"/>
    <mergeCell ref="V1:V5"/>
    <mergeCell ref="X1:X5"/>
    <mergeCell ref="A2:T2"/>
    <mergeCell ref="G4:I4"/>
    <mergeCell ref="L4:M4"/>
    <mergeCell ref="N4:Q4"/>
    <mergeCell ref="D5:F5"/>
    <mergeCell ref="L5:M5"/>
    <mergeCell ref="M6:T6"/>
    <mergeCell ref="A7:T7"/>
    <mergeCell ref="G8:I8"/>
    <mergeCell ref="L8:M8"/>
    <mergeCell ref="N8:Q8"/>
    <mergeCell ref="B17:C17"/>
    <mergeCell ref="D9:F9"/>
    <mergeCell ref="L9:M9"/>
    <mergeCell ref="N9:T9"/>
    <mergeCell ref="A10:A11"/>
    <mergeCell ref="B10:C11"/>
    <mergeCell ref="D10:D11"/>
    <mergeCell ref="F10:H10"/>
    <mergeCell ref="I10:I11"/>
    <mergeCell ref="J10:N10"/>
    <mergeCell ref="O10:T10"/>
    <mergeCell ref="B12:C12"/>
    <mergeCell ref="A13:T13"/>
    <mergeCell ref="B14:C14"/>
    <mergeCell ref="B15:C15"/>
    <mergeCell ref="B16:C16"/>
    <mergeCell ref="A32:D32"/>
    <mergeCell ref="B18:C18"/>
    <mergeCell ref="A20:D20"/>
    <mergeCell ref="B22:C22"/>
    <mergeCell ref="A23:T23"/>
    <mergeCell ref="B24:C24"/>
    <mergeCell ref="B25:C25"/>
    <mergeCell ref="B26:C26"/>
    <mergeCell ref="B27:C27"/>
    <mergeCell ref="B28:C28"/>
    <mergeCell ref="B29:C29"/>
    <mergeCell ref="B30:C30"/>
    <mergeCell ref="M42:T42"/>
    <mergeCell ref="A45:T45"/>
    <mergeCell ref="A41:D41"/>
    <mergeCell ref="A34:T34"/>
    <mergeCell ref="B35:C35"/>
    <mergeCell ref="B36:C36"/>
    <mergeCell ref="A38:D38"/>
    <mergeCell ref="A39:D39"/>
    <mergeCell ref="A40:D40"/>
  </mergeCells>
  <pageMargins left="0.7" right="0.7" top="0.75" bottom="0.75" header="0.3" footer="0.3"/>
  <pageSetup paperSize="9" scale="79" orientation="landscape" r:id="rId1"/>
  <rowBreaks count="2" manualBreakCount="2">
    <brk id="5" max="19" man="1"/>
    <brk id="4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X46"/>
  <sheetViews>
    <sheetView view="pageBreakPreview" topLeftCell="A7" zoomScale="80" zoomScaleNormal="80" zoomScaleSheetLayoutView="80" workbookViewId="0">
      <selection activeCell="A33" sqref="A33:T33"/>
    </sheetView>
  </sheetViews>
  <sheetFormatPr defaultRowHeight="11.25" x14ac:dyDescent="0.2"/>
  <cols>
    <col min="1" max="1" width="9.5" style="53" customWidth="1"/>
    <col min="2" max="2" width="16.33203125" style="53" customWidth="1"/>
    <col min="3" max="3" width="25.1640625" style="53" customWidth="1"/>
    <col min="4" max="4" width="8" style="4" customWidth="1"/>
    <col min="5" max="5" width="9.6640625" style="4" customWidth="1"/>
    <col min="6" max="6" width="9.83203125" style="94" customWidth="1"/>
    <col min="7" max="7" width="9.6640625" style="4" customWidth="1"/>
    <col min="8" max="8" width="8.5" style="4" customWidth="1"/>
    <col min="9" max="9" width="10" style="4" customWidth="1"/>
    <col min="10" max="10" width="9" style="4" customWidth="1"/>
    <col min="11" max="11" width="9.83203125" style="4" customWidth="1"/>
    <col min="12" max="12" width="8.83203125" style="4" customWidth="1"/>
    <col min="13" max="13" width="10.33203125" style="4" customWidth="1"/>
    <col min="14" max="14" width="9.5" style="4" customWidth="1"/>
    <col min="15" max="15" width="9.33203125" style="4" customWidth="1"/>
    <col min="16" max="17" width="9.1640625" style="4" customWidth="1"/>
    <col min="18" max="18" width="9" style="4" customWidth="1"/>
    <col min="19" max="19" width="9.5" style="4" customWidth="1"/>
    <col min="20" max="20" width="8.6640625" style="4" customWidth="1"/>
    <col min="21" max="21" width="9.1640625" style="17" customWidth="1"/>
    <col min="22" max="23" width="9.1640625" style="26" customWidth="1"/>
    <col min="24" max="24" width="11.6640625" style="26" customWidth="1"/>
  </cols>
  <sheetData>
    <row r="1" spans="1:24" s="1" customFormat="1" ht="11.25" customHeight="1" x14ac:dyDescent="0.2">
      <c r="A1" s="54"/>
      <c r="B1" s="51"/>
      <c r="C1" s="51"/>
      <c r="D1" s="118"/>
      <c r="E1" s="118"/>
      <c r="F1" s="119"/>
      <c r="G1" s="118"/>
      <c r="H1" s="118"/>
      <c r="I1" s="118"/>
      <c r="J1" s="118"/>
      <c r="K1" s="118"/>
      <c r="L1" s="2"/>
      <c r="M1" s="206" t="s">
        <v>65</v>
      </c>
      <c r="N1" s="206"/>
      <c r="O1" s="206"/>
      <c r="P1" s="206"/>
      <c r="Q1" s="206"/>
      <c r="R1" s="206"/>
      <c r="S1" s="206"/>
      <c r="T1" s="206"/>
      <c r="U1" s="213"/>
      <c r="V1" s="202"/>
      <c r="W1" s="194"/>
      <c r="X1" s="202"/>
    </row>
    <row r="2" spans="1:24" s="1" customFormat="1" ht="15.75" customHeight="1" x14ac:dyDescent="0.25">
      <c r="A2" s="207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14"/>
      <c r="V2" s="202"/>
      <c r="W2" s="194"/>
      <c r="X2" s="202"/>
    </row>
    <row r="3" spans="1:24" s="1" customFormat="1" ht="15.75" customHeight="1" x14ac:dyDescent="0.25">
      <c r="A3" s="195"/>
      <c r="B3" s="195"/>
      <c r="C3" s="195"/>
      <c r="D3" s="195"/>
      <c r="E3" s="195"/>
      <c r="F3" s="195"/>
      <c r="G3" s="195"/>
      <c r="H3" s="195" t="s">
        <v>119</v>
      </c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214"/>
      <c r="V3" s="202"/>
      <c r="W3" s="194"/>
      <c r="X3" s="202"/>
    </row>
    <row r="4" spans="1:24" s="1" customFormat="1" ht="11.25" customHeight="1" x14ac:dyDescent="0.2">
      <c r="A4" s="55" t="s">
        <v>55</v>
      </c>
      <c r="B4" s="51"/>
      <c r="C4" s="51"/>
      <c r="D4" s="2"/>
      <c r="E4" s="2"/>
      <c r="F4" s="119"/>
      <c r="G4" s="208" t="s">
        <v>1</v>
      </c>
      <c r="H4" s="208"/>
      <c r="I4" s="208"/>
      <c r="J4" s="118"/>
      <c r="K4" s="118"/>
      <c r="L4" s="201" t="s">
        <v>2</v>
      </c>
      <c r="M4" s="201"/>
      <c r="N4" s="240"/>
      <c r="O4" s="240"/>
      <c r="P4" s="240"/>
      <c r="Q4" s="240"/>
      <c r="R4" s="118"/>
      <c r="S4" s="118"/>
      <c r="T4" s="118"/>
      <c r="U4" s="214"/>
      <c r="V4" s="202"/>
      <c r="W4" s="194"/>
      <c r="X4" s="202"/>
    </row>
    <row r="5" spans="1:24" s="1" customFormat="1" ht="11.25" customHeight="1" x14ac:dyDescent="0.2">
      <c r="A5" s="51"/>
      <c r="B5" s="51"/>
      <c r="C5" s="51"/>
      <c r="D5" s="201" t="s">
        <v>3</v>
      </c>
      <c r="E5" s="201"/>
      <c r="F5" s="201"/>
      <c r="G5" s="6">
        <v>1</v>
      </c>
      <c r="H5" s="118"/>
      <c r="I5" s="2"/>
      <c r="J5" s="2"/>
      <c r="K5" s="2"/>
      <c r="L5" s="201" t="s">
        <v>4</v>
      </c>
      <c r="M5" s="201"/>
      <c r="N5" s="208" t="s">
        <v>118</v>
      </c>
      <c r="O5" s="208"/>
      <c r="P5" s="208"/>
      <c r="Q5" s="208"/>
      <c r="R5" s="208"/>
      <c r="S5" s="208"/>
      <c r="T5" s="208"/>
      <c r="U5" s="215"/>
      <c r="V5" s="216"/>
      <c r="W5" s="194"/>
      <c r="X5" s="202"/>
    </row>
    <row r="6" spans="1:24" s="1" customFormat="1" ht="11.25" customHeight="1" x14ac:dyDescent="0.2">
      <c r="A6" s="54"/>
      <c r="B6" s="51"/>
      <c r="C6" s="51"/>
      <c r="D6" s="118"/>
      <c r="E6" s="118"/>
      <c r="F6" s="119"/>
      <c r="G6" s="118"/>
      <c r="H6" s="118"/>
      <c r="I6" s="118"/>
      <c r="J6" s="118"/>
      <c r="K6" s="118"/>
      <c r="L6" s="118"/>
      <c r="M6" s="206" t="s">
        <v>65</v>
      </c>
      <c r="N6" s="206"/>
      <c r="O6" s="206"/>
      <c r="P6" s="206"/>
      <c r="Q6" s="206"/>
      <c r="R6" s="206"/>
      <c r="S6" s="206"/>
      <c r="T6" s="206"/>
      <c r="U6" s="11"/>
      <c r="V6" s="18"/>
      <c r="W6" s="18"/>
      <c r="X6" s="18"/>
    </row>
    <row r="7" spans="1:24" s="1" customFormat="1" ht="11.25" customHeight="1" x14ac:dyDescent="0.2">
      <c r="A7" s="249" t="s">
        <v>41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12"/>
      <c r="V7" s="24"/>
      <c r="W7" s="24"/>
      <c r="X7" s="24"/>
    </row>
    <row r="8" spans="1:24" s="1" customFormat="1" ht="11.25" customHeight="1" x14ac:dyDescent="0.2">
      <c r="A8" s="55" t="s">
        <v>55</v>
      </c>
      <c r="B8" s="51"/>
      <c r="C8" s="51"/>
      <c r="D8" s="2"/>
      <c r="E8" s="2"/>
      <c r="F8" s="119"/>
      <c r="G8" s="208" t="s">
        <v>33</v>
      </c>
      <c r="H8" s="208"/>
      <c r="I8" s="208"/>
      <c r="J8" s="118"/>
      <c r="K8" s="118"/>
      <c r="L8" s="201" t="s">
        <v>2</v>
      </c>
      <c r="M8" s="201"/>
      <c r="N8" s="240"/>
      <c r="O8" s="240"/>
      <c r="P8" s="240"/>
      <c r="Q8" s="240"/>
      <c r="R8" s="118"/>
      <c r="S8" s="118"/>
      <c r="T8" s="118"/>
      <c r="U8" s="13"/>
      <c r="V8" s="19"/>
      <c r="W8" s="19"/>
      <c r="X8" s="19"/>
    </row>
    <row r="9" spans="1:24" s="1" customFormat="1" ht="11.25" customHeight="1" x14ac:dyDescent="0.2">
      <c r="A9" s="51"/>
      <c r="B9" s="51"/>
      <c r="C9" s="51"/>
      <c r="D9" s="253" t="s">
        <v>3</v>
      </c>
      <c r="E9" s="253"/>
      <c r="F9" s="253"/>
      <c r="G9" s="6">
        <v>2</v>
      </c>
      <c r="H9" s="118"/>
      <c r="I9" s="2"/>
      <c r="J9" s="2"/>
      <c r="K9" s="2"/>
      <c r="L9" s="253" t="s">
        <v>4</v>
      </c>
      <c r="M9" s="253"/>
      <c r="N9" s="208" t="s">
        <v>118</v>
      </c>
      <c r="O9" s="208"/>
      <c r="P9" s="208"/>
      <c r="Q9" s="208"/>
      <c r="R9" s="208"/>
      <c r="S9" s="208"/>
      <c r="T9" s="208"/>
      <c r="U9" s="14"/>
      <c r="V9" s="20"/>
      <c r="W9" s="20"/>
      <c r="X9" s="20"/>
    </row>
    <row r="10" spans="1:24" s="1" customFormat="1" ht="21.75" customHeight="1" x14ac:dyDescent="0.2">
      <c r="A10" s="217" t="s">
        <v>5</v>
      </c>
      <c r="B10" s="209" t="s">
        <v>6</v>
      </c>
      <c r="C10" s="210"/>
      <c r="D10" s="217" t="s">
        <v>7</v>
      </c>
      <c r="E10" s="196"/>
      <c r="F10" s="203" t="s">
        <v>8</v>
      </c>
      <c r="G10" s="204"/>
      <c r="H10" s="205"/>
      <c r="I10" s="217" t="s">
        <v>9</v>
      </c>
      <c r="J10" s="203" t="s">
        <v>10</v>
      </c>
      <c r="K10" s="204"/>
      <c r="L10" s="204"/>
      <c r="M10" s="204"/>
      <c r="N10" s="205"/>
      <c r="O10" s="203" t="s">
        <v>11</v>
      </c>
      <c r="P10" s="204"/>
      <c r="Q10" s="204"/>
      <c r="R10" s="204"/>
      <c r="S10" s="204"/>
      <c r="T10" s="205"/>
      <c r="U10" s="8"/>
      <c r="V10" s="21"/>
      <c r="W10" s="21"/>
      <c r="X10" s="21"/>
    </row>
    <row r="11" spans="1:24" s="1" customFormat="1" ht="21" customHeight="1" x14ac:dyDescent="0.2">
      <c r="A11" s="218"/>
      <c r="B11" s="211"/>
      <c r="C11" s="212"/>
      <c r="D11" s="218"/>
      <c r="E11" s="190">
        <v>7</v>
      </c>
      <c r="F11" s="89" t="s">
        <v>12</v>
      </c>
      <c r="G11" s="197" t="s">
        <v>13</v>
      </c>
      <c r="H11" s="197" t="s">
        <v>14</v>
      </c>
      <c r="I11" s="218"/>
      <c r="J11" s="197" t="s">
        <v>15</v>
      </c>
      <c r="K11" s="197" t="s">
        <v>57</v>
      </c>
      <c r="L11" s="197" t="s">
        <v>16</v>
      </c>
      <c r="M11" s="197" t="s">
        <v>17</v>
      </c>
      <c r="N11" s="197" t="s">
        <v>18</v>
      </c>
      <c r="O11" s="197" t="s">
        <v>19</v>
      </c>
      <c r="P11" s="197" t="s">
        <v>20</v>
      </c>
      <c r="Q11" s="197" t="s">
        <v>58</v>
      </c>
      <c r="R11" s="197" t="s">
        <v>59</v>
      </c>
      <c r="S11" s="197" t="s">
        <v>21</v>
      </c>
      <c r="T11" s="197" t="s">
        <v>22</v>
      </c>
      <c r="U11" s="8"/>
      <c r="V11" s="21"/>
      <c r="W11" s="21"/>
      <c r="X11" s="21"/>
    </row>
    <row r="12" spans="1:24" s="1" customFormat="1" ht="11.25" customHeight="1" x14ac:dyDescent="0.2">
      <c r="A12" s="198">
        <v>1</v>
      </c>
      <c r="B12" s="233">
        <v>2</v>
      </c>
      <c r="C12" s="234"/>
      <c r="D12" s="36">
        <v>3</v>
      </c>
      <c r="E12" s="36"/>
      <c r="F12" s="36">
        <v>4</v>
      </c>
      <c r="G12" s="36">
        <v>5</v>
      </c>
      <c r="H12" s="36">
        <v>6</v>
      </c>
      <c r="I12" s="36">
        <v>7</v>
      </c>
      <c r="J12" s="36">
        <v>8</v>
      </c>
      <c r="K12" s="36">
        <v>9</v>
      </c>
      <c r="L12" s="36">
        <v>10</v>
      </c>
      <c r="M12" s="36">
        <v>11</v>
      </c>
      <c r="N12" s="36">
        <v>12</v>
      </c>
      <c r="O12" s="36">
        <v>13</v>
      </c>
      <c r="P12" s="36">
        <v>14</v>
      </c>
      <c r="Q12" s="36">
        <v>15</v>
      </c>
      <c r="R12" s="36">
        <v>16</v>
      </c>
      <c r="S12" s="36">
        <v>17</v>
      </c>
      <c r="T12" s="36">
        <v>18</v>
      </c>
      <c r="U12" s="9"/>
      <c r="V12" s="22"/>
      <c r="W12" s="22"/>
      <c r="X12" s="22"/>
    </row>
    <row r="13" spans="1:24" s="1" customFormat="1" ht="11.25" customHeight="1" x14ac:dyDescent="0.2">
      <c r="A13" s="227" t="s">
        <v>26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9"/>
      <c r="U13" s="10"/>
      <c r="V13" s="23"/>
      <c r="W13" s="23"/>
      <c r="X13" s="23"/>
    </row>
    <row r="14" spans="1:24" s="107" customFormat="1" ht="11.25" customHeight="1" x14ac:dyDescent="0.2">
      <c r="A14" s="110" t="s">
        <v>66</v>
      </c>
      <c r="B14" s="238" t="s">
        <v>95</v>
      </c>
      <c r="C14" s="238"/>
      <c r="D14" s="109">
        <v>20</v>
      </c>
      <c r="E14" s="108">
        <v>6.47</v>
      </c>
      <c r="F14" s="108">
        <v>1.25</v>
      </c>
      <c r="G14" s="108"/>
      <c r="H14" s="108">
        <v>9.5</v>
      </c>
      <c r="I14" s="108">
        <v>43</v>
      </c>
      <c r="J14" s="108">
        <v>8.0000000000000002E-3</v>
      </c>
      <c r="K14" s="108">
        <v>7.0000000000000001E-3</v>
      </c>
      <c r="L14" s="108">
        <v>0.16</v>
      </c>
      <c r="M14" s="108">
        <v>8.0000000000000002E-3</v>
      </c>
      <c r="N14" s="108">
        <v>0.03</v>
      </c>
      <c r="O14" s="108">
        <v>51.16</v>
      </c>
      <c r="P14" s="108">
        <v>36.5</v>
      </c>
      <c r="Q14" s="108">
        <v>0.16</v>
      </c>
      <c r="R14" s="108">
        <v>2E-3</v>
      </c>
      <c r="S14" s="108">
        <v>5.66</v>
      </c>
      <c r="T14" s="108">
        <v>0.03</v>
      </c>
    </row>
    <row r="15" spans="1:24" s="107" customFormat="1" x14ac:dyDescent="0.2">
      <c r="A15" s="113">
        <v>222</v>
      </c>
      <c r="B15" s="247" t="s">
        <v>94</v>
      </c>
      <c r="C15" s="248"/>
      <c r="D15" s="109">
        <v>170</v>
      </c>
      <c r="E15" s="108">
        <v>46.22</v>
      </c>
      <c r="F15" s="114">
        <v>14.92</v>
      </c>
      <c r="G15" s="114">
        <v>14.38</v>
      </c>
      <c r="H15" s="114">
        <v>31.51</v>
      </c>
      <c r="I15" s="114">
        <v>315.14</v>
      </c>
      <c r="J15" s="114">
        <v>0.26</v>
      </c>
      <c r="K15" s="114">
        <v>0.40799999999999997</v>
      </c>
      <c r="L15" s="114">
        <v>0.93500000000000005</v>
      </c>
      <c r="M15" s="114">
        <v>0.21299999999999999</v>
      </c>
      <c r="N15" s="114">
        <v>1.36</v>
      </c>
      <c r="O15" s="114">
        <v>215.96</v>
      </c>
      <c r="P15" s="114">
        <v>414.6</v>
      </c>
      <c r="Q15" s="114">
        <v>1.2</v>
      </c>
      <c r="R15" s="114">
        <v>0.02</v>
      </c>
      <c r="S15" s="114">
        <v>93.882999999999996</v>
      </c>
      <c r="T15" s="114">
        <v>2.5329999999999999</v>
      </c>
    </row>
    <row r="16" spans="1:24" s="118" customFormat="1" ht="11.25" customHeight="1" x14ac:dyDescent="0.2">
      <c r="A16" s="198">
        <v>382</v>
      </c>
      <c r="B16" s="231" t="s">
        <v>88</v>
      </c>
      <c r="C16" s="232"/>
      <c r="D16" s="125">
        <v>200</v>
      </c>
      <c r="E16" s="126">
        <v>14.3</v>
      </c>
      <c r="F16" s="126">
        <f>3.5*D16/200</f>
        <v>3.5</v>
      </c>
      <c r="G16" s="126">
        <f>3.7*D16/200</f>
        <v>3.7</v>
      </c>
      <c r="H16" s="126">
        <f>25.5*D16/200</f>
        <v>25.5</v>
      </c>
      <c r="I16" s="126">
        <f>F16*4+G16*9+H16*4</f>
        <v>149.30000000000001</v>
      </c>
      <c r="J16" s="126">
        <f>0.06*D16/200</f>
        <v>0.06</v>
      </c>
      <c r="K16" s="126">
        <f>0.006*D16/200</f>
        <v>6.0000000000000001E-3</v>
      </c>
      <c r="L16" s="126">
        <f>1.6*D16/200</f>
        <v>1.6</v>
      </c>
      <c r="M16" s="127">
        <f>0.04*D16/200</f>
        <v>0.04</v>
      </c>
      <c r="N16" s="126">
        <f>0.4*D16/200</f>
        <v>0.4</v>
      </c>
      <c r="O16" s="126">
        <f>102.6*D16/200</f>
        <v>102.6</v>
      </c>
      <c r="P16" s="126">
        <f>178.4*D16/200</f>
        <v>178.4</v>
      </c>
      <c r="Q16" s="126">
        <f>1*D16/200</f>
        <v>1</v>
      </c>
      <c r="R16" s="127">
        <f>0.001*D16/200</f>
        <v>1E-3</v>
      </c>
      <c r="S16" s="126">
        <f>24.8*D16/200</f>
        <v>24.8</v>
      </c>
      <c r="T16" s="126">
        <f>0.48*D16/200</f>
        <v>0.48</v>
      </c>
      <c r="U16" s="128"/>
      <c r="V16" s="129"/>
      <c r="W16" s="129"/>
      <c r="X16" s="129"/>
    </row>
    <row r="17" spans="1:24" s="118" customFormat="1" ht="11.25" customHeight="1" x14ac:dyDescent="0.2">
      <c r="A17" s="131" t="s">
        <v>66</v>
      </c>
      <c r="B17" s="231" t="s">
        <v>53</v>
      </c>
      <c r="C17" s="232"/>
      <c r="D17" s="125">
        <v>40</v>
      </c>
      <c r="E17" s="126">
        <v>3.01</v>
      </c>
      <c r="F17" s="126">
        <f>1.52*D17/30</f>
        <v>2.0266666666666664</v>
      </c>
      <c r="G17" s="127">
        <f>0.16*D17/30</f>
        <v>0.21333333333333335</v>
      </c>
      <c r="H17" s="127">
        <f>9.84*D17/30</f>
        <v>13.120000000000001</v>
      </c>
      <c r="I17" s="127">
        <f>F17*4+G17*9+H17*4</f>
        <v>62.506666666666668</v>
      </c>
      <c r="J17" s="127">
        <f>0.02*D17/30</f>
        <v>2.6666666666666668E-2</v>
      </c>
      <c r="K17" s="127">
        <f>0.01*D17/30</f>
        <v>1.3333333333333334E-2</v>
      </c>
      <c r="L17" s="127">
        <f>0.44*D17/30</f>
        <v>0.58666666666666667</v>
      </c>
      <c r="M17" s="127">
        <v>0</v>
      </c>
      <c r="N17" s="127">
        <f>0.7*D17/30</f>
        <v>0.93333333333333335</v>
      </c>
      <c r="O17" s="127">
        <f>4*D17/30</f>
        <v>5.333333333333333</v>
      </c>
      <c r="P17" s="127">
        <f>13*D17/30</f>
        <v>17.333333333333332</v>
      </c>
      <c r="Q17" s="127">
        <f>0.008*D17/30</f>
        <v>1.0666666666666666E-2</v>
      </c>
      <c r="R17" s="127">
        <f>0.001*D17/30</f>
        <v>1.3333333333333333E-3</v>
      </c>
      <c r="S17" s="127">
        <v>0</v>
      </c>
      <c r="T17" s="127">
        <f>0.22*D17/30</f>
        <v>0.29333333333333333</v>
      </c>
      <c r="U17" s="128"/>
      <c r="V17" s="129"/>
      <c r="W17" s="129"/>
      <c r="X17" s="129"/>
    </row>
    <row r="18" spans="1:24" s="118" customFormat="1" ht="11.25" customHeight="1" x14ac:dyDescent="0.2">
      <c r="A18" s="60" t="s">
        <v>27</v>
      </c>
      <c r="B18" s="61"/>
      <c r="C18" s="61"/>
      <c r="D18" s="62">
        <f t="shared" ref="D18:T18" si="0">SUM(D14:D17)</f>
        <v>430</v>
      </c>
      <c r="E18" s="132">
        <f t="shared" si="0"/>
        <v>70</v>
      </c>
      <c r="F18" s="38">
        <f t="shared" si="0"/>
        <v>21.696666666666669</v>
      </c>
      <c r="G18" s="38">
        <f t="shared" si="0"/>
        <v>18.293333333333337</v>
      </c>
      <c r="H18" s="38">
        <f t="shared" si="0"/>
        <v>79.63000000000001</v>
      </c>
      <c r="I18" s="38">
        <f t="shared" si="0"/>
        <v>569.94666666666672</v>
      </c>
      <c r="J18" s="38">
        <f t="shared" si="0"/>
        <v>0.35466666666666669</v>
      </c>
      <c r="K18" s="38">
        <f t="shared" si="0"/>
        <v>0.43433333333333329</v>
      </c>
      <c r="L18" s="38">
        <f t="shared" si="0"/>
        <v>3.2816666666666672</v>
      </c>
      <c r="M18" s="38">
        <f t="shared" si="0"/>
        <v>0.26100000000000001</v>
      </c>
      <c r="N18" s="38">
        <f t="shared" si="0"/>
        <v>2.7233333333333336</v>
      </c>
      <c r="O18" s="38">
        <f t="shared" si="0"/>
        <v>375.05333333333334</v>
      </c>
      <c r="P18" s="38">
        <f t="shared" si="0"/>
        <v>646.83333333333337</v>
      </c>
      <c r="Q18" s="38">
        <f t="shared" si="0"/>
        <v>2.3706666666666667</v>
      </c>
      <c r="R18" s="38">
        <f t="shared" si="0"/>
        <v>2.4333333333333332E-2</v>
      </c>
      <c r="S18" s="38">
        <f t="shared" si="0"/>
        <v>124.34299999999999</v>
      </c>
      <c r="T18" s="38">
        <f t="shared" si="0"/>
        <v>3.3363333333333332</v>
      </c>
      <c r="U18" s="37"/>
      <c r="V18" s="120"/>
      <c r="W18" s="120"/>
      <c r="X18" s="120"/>
    </row>
    <row r="19" spans="1:24" s="118" customFormat="1" ht="11.25" customHeight="1" x14ac:dyDescent="0.2">
      <c r="A19" s="220" t="s">
        <v>62</v>
      </c>
      <c r="B19" s="221"/>
      <c r="C19" s="221"/>
      <c r="D19" s="222"/>
      <c r="E19" s="187"/>
      <c r="F19" s="133">
        <f t="shared" ref="F19:T19" si="1">F18/F39</f>
        <v>0.24107407407407411</v>
      </c>
      <c r="G19" s="42">
        <f t="shared" si="1"/>
        <v>0.19884057971014496</v>
      </c>
      <c r="H19" s="42">
        <f t="shared" si="1"/>
        <v>0.20791122715404703</v>
      </c>
      <c r="I19" s="42">
        <f t="shared" si="1"/>
        <v>0.20953921568627454</v>
      </c>
      <c r="J19" s="42">
        <f t="shared" si="1"/>
        <v>0.25333333333333335</v>
      </c>
      <c r="K19" s="42">
        <f t="shared" si="1"/>
        <v>0.2714583333333333</v>
      </c>
      <c r="L19" s="42">
        <f t="shared" si="1"/>
        <v>4.6880952380952391E-2</v>
      </c>
      <c r="M19" s="42">
        <f t="shared" si="1"/>
        <v>0.28999999999999998</v>
      </c>
      <c r="N19" s="42">
        <f t="shared" si="1"/>
        <v>0.22694444444444448</v>
      </c>
      <c r="O19" s="42">
        <f t="shared" si="1"/>
        <v>0.31254444444444446</v>
      </c>
      <c r="P19" s="42">
        <f t="shared" si="1"/>
        <v>0.53902777777777777</v>
      </c>
      <c r="Q19" s="42">
        <f t="shared" si="1"/>
        <v>0.16933333333333334</v>
      </c>
      <c r="R19" s="42">
        <f t="shared" si="1"/>
        <v>0.24333333333333332</v>
      </c>
      <c r="S19" s="42">
        <f t="shared" si="1"/>
        <v>0.4144766666666666</v>
      </c>
      <c r="T19" s="42">
        <f t="shared" si="1"/>
        <v>0.18535185185185185</v>
      </c>
      <c r="U19" s="122"/>
      <c r="V19" s="120"/>
      <c r="W19" s="120"/>
      <c r="X19" s="120"/>
    </row>
    <row r="20" spans="1:24" s="118" customFormat="1" ht="11.25" hidden="1" customHeight="1" x14ac:dyDescent="0.2">
      <c r="A20" s="186"/>
      <c r="B20" s="187"/>
      <c r="C20" s="187"/>
      <c r="D20" s="187"/>
      <c r="E20" s="146">
        <f>70-E18</f>
        <v>0</v>
      </c>
      <c r="F20" s="13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4"/>
      <c r="U20" s="122"/>
      <c r="V20" s="120"/>
      <c r="W20" s="120"/>
      <c r="X20" s="120"/>
    </row>
    <row r="21" spans="1:24" s="118" customFormat="1" ht="11.25" customHeight="1" x14ac:dyDescent="0.2">
      <c r="A21" s="244" t="s">
        <v>28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6"/>
      <c r="U21" s="15"/>
      <c r="V21" s="25"/>
      <c r="W21" s="25"/>
      <c r="X21" s="25"/>
    </row>
    <row r="22" spans="1:24" s="118" customFormat="1" ht="22.5" customHeight="1" x14ac:dyDescent="0.2">
      <c r="A22" s="198">
        <v>56</v>
      </c>
      <c r="B22" s="219" t="s">
        <v>109</v>
      </c>
      <c r="C22" s="219"/>
      <c r="D22" s="125">
        <v>100</v>
      </c>
      <c r="E22" s="126">
        <v>7.5</v>
      </c>
      <c r="F22" s="126">
        <f>0.9*D22/60</f>
        <v>1.5</v>
      </c>
      <c r="G22" s="124">
        <f>3.1*D22/60</f>
        <v>5.166666666666667</v>
      </c>
      <c r="H22" s="124">
        <f>5.6*D22/60</f>
        <v>9.3333333333333339</v>
      </c>
      <c r="I22" s="126">
        <f>F22*4+G22*9+H22*4</f>
        <v>89.833333333333343</v>
      </c>
      <c r="J22" s="127">
        <f>0.1*D22/60</f>
        <v>0.16666666666666666</v>
      </c>
      <c r="K22" s="127">
        <f>0.1*D22/60</f>
        <v>0.16666666666666666</v>
      </c>
      <c r="L22" s="126">
        <f>12.3*D22/60</f>
        <v>20.5</v>
      </c>
      <c r="M22" s="127">
        <f>0.02*D22/60</f>
        <v>3.3333333333333333E-2</v>
      </c>
      <c r="N22" s="127">
        <f>0.5*D22/60</f>
        <v>0.83333333333333337</v>
      </c>
      <c r="O22" s="124">
        <f>59.9*D22/60</f>
        <v>99.833333333333329</v>
      </c>
      <c r="P22" s="124">
        <f>31.3*D22/60</f>
        <v>52.166666666666664</v>
      </c>
      <c r="Q22" s="130">
        <f>0.4228*D22/60</f>
        <v>0.70466666666666666</v>
      </c>
      <c r="R22" s="127">
        <f>0.003*D22/60</f>
        <v>5.0000000000000001E-3</v>
      </c>
      <c r="S22" s="124">
        <f>16.3*D22/60</f>
        <v>27.166666666666668</v>
      </c>
      <c r="T22" s="126">
        <f>0.7*D22/60</f>
        <v>1.1666666666666667</v>
      </c>
      <c r="U22" s="128"/>
      <c r="V22" s="129"/>
      <c r="W22" s="129"/>
      <c r="X22" s="129"/>
    </row>
    <row r="23" spans="1:24" s="118" customFormat="1" ht="22.5" customHeight="1" x14ac:dyDescent="0.2">
      <c r="A23" s="111">
        <v>103</v>
      </c>
      <c r="B23" s="230" t="s">
        <v>92</v>
      </c>
      <c r="C23" s="230"/>
      <c r="D23" s="112">
        <v>250</v>
      </c>
      <c r="E23" s="106">
        <v>9.68</v>
      </c>
      <c r="F23" s="106">
        <v>12.37</v>
      </c>
      <c r="G23" s="106">
        <v>11.12</v>
      </c>
      <c r="H23" s="106">
        <v>31.5</v>
      </c>
      <c r="I23" s="106">
        <v>275.62</v>
      </c>
      <c r="J23" s="106">
        <v>0.25</v>
      </c>
      <c r="K23" s="106">
        <v>6.3E-2</v>
      </c>
      <c r="L23" s="106">
        <v>8.25</v>
      </c>
      <c r="M23" s="106">
        <v>0</v>
      </c>
      <c r="N23" s="106">
        <v>0</v>
      </c>
      <c r="O23" s="106">
        <v>49.37</v>
      </c>
      <c r="P23" s="106">
        <v>93.37</v>
      </c>
      <c r="Q23" s="106">
        <v>0</v>
      </c>
      <c r="R23" s="106">
        <v>1E-3</v>
      </c>
      <c r="S23" s="106">
        <v>27.25</v>
      </c>
      <c r="T23" s="106">
        <v>0.37</v>
      </c>
      <c r="U23" s="128"/>
      <c r="V23" s="129"/>
      <c r="W23" s="129"/>
      <c r="X23" s="129"/>
    </row>
    <row r="24" spans="1:24" s="118" customFormat="1" ht="13.5" customHeight="1" x14ac:dyDescent="0.2">
      <c r="A24" s="131">
        <v>232</v>
      </c>
      <c r="B24" s="231" t="s">
        <v>117</v>
      </c>
      <c r="C24" s="232"/>
      <c r="D24" s="125">
        <v>90</v>
      </c>
      <c r="E24" s="126">
        <v>29.68</v>
      </c>
      <c r="F24" s="126">
        <v>8.36</v>
      </c>
      <c r="G24" s="126">
        <v>5.35</v>
      </c>
      <c r="H24" s="126">
        <v>10.45</v>
      </c>
      <c r="I24" s="126">
        <v>125.95</v>
      </c>
      <c r="J24" s="126">
        <v>7.0000000000000007E-2</v>
      </c>
      <c r="K24" s="126">
        <v>7.0000000000000007E-2</v>
      </c>
      <c r="L24" s="124">
        <v>0.42</v>
      </c>
      <c r="M24" s="126">
        <v>0</v>
      </c>
      <c r="N24" s="123">
        <v>0</v>
      </c>
      <c r="O24" s="126">
        <v>39.14</v>
      </c>
      <c r="P24" s="126">
        <v>124.85</v>
      </c>
      <c r="Q24" s="126">
        <v>0</v>
      </c>
      <c r="R24" s="127">
        <f>0.009*D24/80</f>
        <v>1.0124999999999999E-2</v>
      </c>
      <c r="S24" s="126">
        <v>30</v>
      </c>
      <c r="T24" s="126">
        <v>0.74</v>
      </c>
      <c r="U24" s="10"/>
      <c r="V24" s="23"/>
      <c r="W24" s="23"/>
      <c r="X24" s="23"/>
    </row>
    <row r="25" spans="1:24" s="118" customFormat="1" ht="15" customHeight="1" x14ac:dyDescent="0.2">
      <c r="A25" s="131">
        <v>312</v>
      </c>
      <c r="B25" s="231" t="s">
        <v>47</v>
      </c>
      <c r="C25" s="232"/>
      <c r="D25" s="125">
        <v>180</v>
      </c>
      <c r="E25" s="126">
        <v>19.11</v>
      </c>
      <c r="F25" s="126">
        <f>D25*3.29/150</f>
        <v>3.9480000000000004</v>
      </c>
      <c r="G25" s="126">
        <f>D25*7.06/150</f>
        <v>8.4719999999999995</v>
      </c>
      <c r="H25" s="126">
        <f>D25*22.21/150</f>
        <v>26.652000000000001</v>
      </c>
      <c r="I25" s="126">
        <f>F25*4+G25*9+H25*4</f>
        <v>198.648</v>
      </c>
      <c r="J25" s="126">
        <f>D25*0.16/150</f>
        <v>0.192</v>
      </c>
      <c r="K25" s="126">
        <f>D25*0.13/150</f>
        <v>0.15600000000000003</v>
      </c>
      <c r="L25" s="126">
        <f>D25*0.73/150</f>
        <v>0.876</v>
      </c>
      <c r="M25" s="127">
        <f>D25*0.08/150</f>
        <v>9.6000000000000002E-2</v>
      </c>
      <c r="N25" s="123">
        <f>1.5*D25/150</f>
        <v>1.8</v>
      </c>
      <c r="O25" s="126">
        <f>D25*42.54/150</f>
        <v>51.048000000000002</v>
      </c>
      <c r="P25" s="124">
        <f>D25*97.75/150</f>
        <v>117.3</v>
      </c>
      <c r="Q25" s="127">
        <f>0.299*D25/150</f>
        <v>0.35880000000000001</v>
      </c>
      <c r="R25" s="127">
        <f>0.001*D25/150</f>
        <v>1.1999999999999999E-3</v>
      </c>
      <c r="S25" s="126">
        <f>D25*33.06/150</f>
        <v>39.672000000000004</v>
      </c>
      <c r="T25" s="126">
        <f>D25*1.19/150</f>
        <v>1.4279999999999999</v>
      </c>
      <c r="U25" s="10"/>
      <c r="V25" s="23"/>
      <c r="W25" s="23"/>
      <c r="X25" s="23"/>
    </row>
    <row r="26" spans="1:24" x14ac:dyDescent="0.2">
      <c r="A26" s="161">
        <v>699</v>
      </c>
      <c r="B26" s="241" t="s">
        <v>108</v>
      </c>
      <c r="C26" s="242"/>
      <c r="D26" s="162">
        <v>200</v>
      </c>
      <c r="E26" s="163">
        <v>7.5</v>
      </c>
      <c r="F26" s="163">
        <v>0.1</v>
      </c>
      <c r="G26" s="164">
        <v>0</v>
      </c>
      <c r="H26" s="165">
        <v>15.7</v>
      </c>
      <c r="I26" s="163">
        <v>63.2</v>
      </c>
      <c r="J26" s="164">
        <v>1.7999999999999999E-2</v>
      </c>
      <c r="K26" s="164">
        <v>1.2E-2</v>
      </c>
      <c r="L26" s="165">
        <v>8</v>
      </c>
      <c r="M26" s="164">
        <v>0</v>
      </c>
      <c r="N26" s="163">
        <v>0.2</v>
      </c>
      <c r="O26" s="163">
        <v>10.8</v>
      </c>
      <c r="P26" s="163">
        <v>1.7</v>
      </c>
      <c r="Q26" s="163">
        <v>0</v>
      </c>
      <c r="R26" s="166">
        <v>0</v>
      </c>
      <c r="S26" s="163">
        <v>5.8</v>
      </c>
      <c r="T26" s="163">
        <v>1.6</v>
      </c>
      <c r="U26"/>
      <c r="V26"/>
      <c r="W26"/>
      <c r="X26"/>
    </row>
    <row r="27" spans="1:24" s="118" customFormat="1" ht="11.25" customHeight="1" x14ac:dyDescent="0.2">
      <c r="A27" s="67" t="s">
        <v>66</v>
      </c>
      <c r="B27" s="231" t="s">
        <v>46</v>
      </c>
      <c r="C27" s="232"/>
      <c r="D27" s="125">
        <v>40</v>
      </c>
      <c r="E27" s="126">
        <v>2.04</v>
      </c>
      <c r="F27" s="126">
        <f>2.64*D27/40</f>
        <v>2.64</v>
      </c>
      <c r="G27" s="126">
        <f>0.48*D27/40</f>
        <v>0.48</v>
      </c>
      <c r="H27" s="126">
        <f>13.68*D27/40</f>
        <v>13.680000000000001</v>
      </c>
      <c r="I27" s="124">
        <f>F27*4+G27*9+H27*4</f>
        <v>69.600000000000009</v>
      </c>
      <c r="J27" s="123">
        <f>0.08*D27/40</f>
        <v>0.08</v>
      </c>
      <c r="K27" s="126">
        <f>0.04*D27/40</f>
        <v>0.04</v>
      </c>
      <c r="L27" s="125">
        <v>0</v>
      </c>
      <c r="M27" s="125">
        <v>0</v>
      </c>
      <c r="N27" s="126">
        <f>2.4*D27/40</f>
        <v>2.4</v>
      </c>
      <c r="O27" s="126">
        <f>14*D27/40</f>
        <v>14</v>
      </c>
      <c r="P27" s="126">
        <f>63.2*D27/40</f>
        <v>63.2</v>
      </c>
      <c r="Q27" s="126">
        <f>1.2*D27/40</f>
        <v>1.2</v>
      </c>
      <c r="R27" s="127">
        <f>0.001*D27/40</f>
        <v>1E-3</v>
      </c>
      <c r="S27" s="126">
        <f>9.4*D27/40</f>
        <v>9.4</v>
      </c>
      <c r="T27" s="123">
        <f>0.78*D27/40</f>
        <v>0.78</v>
      </c>
      <c r="U27" s="29"/>
      <c r="V27" s="30"/>
      <c r="W27" s="30"/>
      <c r="X27" s="30"/>
    </row>
    <row r="28" spans="1:24" x14ac:dyDescent="0.2">
      <c r="A28" s="156" t="s">
        <v>66</v>
      </c>
      <c r="B28" s="250" t="s">
        <v>107</v>
      </c>
      <c r="C28" s="242"/>
      <c r="D28" s="156">
        <v>40</v>
      </c>
      <c r="E28" s="157">
        <v>11.39</v>
      </c>
      <c r="F28" s="157">
        <v>0.65</v>
      </c>
      <c r="G28" s="158">
        <v>3.8</v>
      </c>
      <c r="H28" s="159">
        <v>17.600000000000001</v>
      </c>
      <c r="I28" s="157">
        <v>38</v>
      </c>
      <c r="J28" s="157">
        <v>2.5999999999999999E-2</v>
      </c>
      <c r="K28" s="157">
        <v>0.03</v>
      </c>
      <c r="L28" s="157">
        <v>0.13</v>
      </c>
      <c r="M28" s="157">
        <v>11.96</v>
      </c>
      <c r="N28" s="158">
        <v>0.39</v>
      </c>
      <c r="O28" s="157">
        <v>24.18</v>
      </c>
      <c r="P28" s="157">
        <v>49.4</v>
      </c>
      <c r="Q28" s="160">
        <v>0.2</v>
      </c>
      <c r="R28" s="157">
        <v>2E-3</v>
      </c>
      <c r="S28" s="157">
        <v>18.72</v>
      </c>
      <c r="T28" s="157">
        <v>0.182</v>
      </c>
      <c r="U28"/>
      <c r="V28"/>
      <c r="W28"/>
      <c r="X28"/>
    </row>
    <row r="29" spans="1:24" s="118" customFormat="1" ht="11.25" customHeight="1" x14ac:dyDescent="0.2">
      <c r="A29" s="131" t="s">
        <v>66</v>
      </c>
      <c r="B29" s="231" t="s">
        <v>53</v>
      </c>
      <c r="C29" s="232"/>
      <c r="D29" s="125">
        <v>40</v>
      </c>
      <c r="E29" s="126">
        <v>3.1</v>
      </c>
      <c r="F29" s="126">
        <f>1.52*D29/30</f>
        <v>2.0266666666666664</v>
      </c>
      <c r="G29" s="127">
        <f>0.16*D29/30</f>
        <v>0.21333333333333335</v>
      </c>
      <c r="H29" s="127">
        <f>9.84*D29/30</f>
        <v>13.120000000000001</v>
      </c>
      <c r="I29" s="127">
        <f>F29*4+G29*9+H29*4</f>
        <v>62.506666666666668</v>
      </c>
      <c r="J29" s="127">
        <f>0.02*D29/30</f>
        <v>2.6666666666666668E-2</v>
      </c>
      <c r="K29" s="127">
        <f>0.01*D29/30</f>
        <v>1.3333333333333334E-2</v>
      </c>
      <c r="L29" s="127">
        <f>0.44*D29/30</f>
        <v>0.58666666666666667</v>
      </c>
      <c r="M29" s="127">
        <v>0</v>
      </c>
      <c r="N29" s="127">
        <f>0.7*D29/30</f>
        <v>0.93333333333333335</v>
      </c>
      <c r="O29" s="127">
        <f>4*D29/30</f>
        <v>5.333333333333333</v>
      </c>
      <c r="P29" s="127">
        <f>13*D29/30</f>
        <v>17.333333333333332</v>
      </c>
      <c r="Q29" s="127">
        <f>0.008*D29/30</f>
        <v>1.0666666666666666E-2</v>
      </c>
      <c r="R29" s="127">
        <f>0.001*D29/30</f>
        <v>1.3333333333333333E-3</v>
      </c>
      <c r="S29" s="127">
        <v>0</v>
      </c>
      <c r="T29" s="127">
        <f>0.22*D29/30</f>
        <v>0.29333333333333333</v>
      </c>
      <c r="U29" s="128"/>
      <c r="V29" s="129"/>
      <c r="W29" s="129"/>
      <c r="X29" s="129"/>
    </row>
    <row r="30" spans="1:24" s="118" customFormat="1" ht="22.5" customHeight="1" x14ac:dyDescent="0.2">
      <c r="A30" s="58" t="s">
        <v>29</v>
      </c>
      <c r="B30" s="59"/>
      <c r="C30" s="59"/>
      <c r="D30" s="97">
        <f t="shared" ref="D30:I30" si="2">SUM(D22:D29)</f>
        <v>940</v>
      </c>
      <c r="E30" s="116">
        <f t="shared" si="2"/>
        <v>90</v>
      </c>
      <c r="F30" s="38">
        <f t="shared" si="2"/>
        <v>31.594666666666665</v>
      </c>
      <c r="G30" s="37">
        <f t="shared" si="2"/>
        <v>34.601999999999997</v>
      </c>
      <c r="H30" s="37">
        <f t="shared" si="2"/>
        <v>138.03533333333334</v>
      </c>
      <c r="I30" s="37">
        <f t="shared" si="2"/>
        <v>923.35800000000006</v>
      </c>
      <c r="J30" s="38">
        <f t="shared" ref="J30:T30" si="3">SUM(J22:J29)</f>
        <v>0.82933333333333326</v>
      </c>
      <c r="K30" s="38">
        <f t="shared" si="3"/>
        <v>0.55100000000000005</v>
      </c>
      <c r="L30" s="37">
        <f t="shared" si="3"/>
        <v>38.762666666666675</v>
      </c>
      <c r="M30" s="38">
        <f t="shared" si="3"/>
        <v>12.089333333333334</v>
      </c>
      <c r="N30" s="39">
        <f t="shared" si="3"/>
        <v>6.5566666666666666</v>
      </c>
      <c r="O30" s="38">
        <f t="shared" si="3"/>
        <v>293.70466666666664</v>
      </c>
      <c r="P30" s="37">
        <f t="shared" si="3"/>
        <v>519.31999999999994</v>
      </c>
      <c r="Q30" s="38">
        <f t="shared" si="3"/>
        <v>2.474133333333334</v>
      </c>
      <c r="R30" s="38">
        <f t="shared" si="3"/>
        <v>2.1658333333333335E-2</v>
      </c>
      <c r="S30" s="38">
        <f t="shared" si="3"/>
        <v>158.0086666666667</v>
      </c>
      <c r="T30" s="38">
        <f t="shared" si="3"/>
        <v>6.56</v>
      </c>
      <c r="U30" s="37"/>
      <c r="V30" s="120"/>
      <c r="W30" s="120"/>
      <c r="X30" s="120"/>
    </row>
    <row r="31" spans="1:24" s="118" customFormat="1" ht="22.5" customHeight="1" x14ac:dyDescent="0.2">
      <c r="A31" s="220" t="s">
        <v>62</v>
      </c>
      <c r="B31" s="221"/>
      <c r="C31" s="221"/>
      <c r="D31" s="222"/>
      <c r="E31" s="187"/>
      <c r="F31" s="133">
        <f>F30/F39</f>
        <v>0.35105185185185184</v>
      </c>
      <c r="G31" s="42">
        <f t="shared" ref="G31:T31" si="4">G30/G39</f>
        <v>0.37610869565217386</v>
      </c>
      <c r="H31" s="42">
        <f t="shared" si="4"/>
        <v>0.36040557006092255</v>
      </c>
      <c r="I31" s="42">
        <f t="shared" si="4"/>
        <v>0.33946985294117649</v>
      </c>
      <c r="J31" s="42">
        <f t="shared" si="4"/>
        <v>0.59238095238095234</v>
      </c>
      <c r="K31" s="42">
        <f t="shared" si="4"/>
        <v>0.34437499999999999</v>
      </c>
      <c r="L31" s="42">
        <f t="shared" si="4"/>
        <v>0.55375238095238111</v>
      </c>
      <c r="M31" s="42">
        <f t="shared" si="4"/>
        <v>13.432592592592593</v>
      </c>
      <c r="N31" s="42">
        <f t="shared" si="4"/>
        <v>0.54638888888888892</v>
      </c>
      <c r="O31" s="42">
        <f t="shared" si="4"/>
        <v>0.24475388888888885</v>
      </c>
      <c r="P31" s="42">
        <f t="shared" si="4"/>
        <v>0.43276666666666663</v>
      </c>
      <c r="Q31" s="42">
        <f t="shared" si="4"/>
        <v>0.17672380952380956</v>
      </c>
      <c r="R31" s="42">
        <f t="shared" si="4"/>
        <v>0.21658333333333335</v>
      </c>
      <c r="S31" s="42">
        <f t="shared" si="4"/>
        <v>0.52669555555555569</v>
      </c>
      <c r="T31" s="42">
        <f t="shared" si="4"/>
        <v>0.3644444444444444</v>
      </c>
      <c r="U31" s="122"/>
      <c r="V31" s="120"/>
      <c r="W31" s="120"/>
      <c r="X31" s="120"/>
    </row>
    <row r="32" spans="1:24" s="118" customFormat="1" ht="13.5" hidden="1" customHeight="1" x14ac:dyDescent="0.2">
      <c r="A32" s="186"/>
      <c r="B32" s="187"/>
      <c r="C32" s="187"/>
      <c r="D32" s="187"/>
      <c r="E32" s="146">
        <f>90-E30</f>
        <v>0</v>
      </c>
      <c r="F32" s="13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4"/>
      <c r="U32" s="122"/>
      <c r="V32" s="120"/>
      <c r="W32" s="120"/>
      <c r="X32" s="120"/>
    </row>
    <row r="33" spans="1:24" s="118" customFormat="1" ht="15" customHeight="1" x14ac:dyDescent="0.2">
      <c r="A33" s="263" t="s">
        <v>30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5"/>
      <c r="U33" s="10"/>
      <c r="V33" s="23"/>
      <c r="W33" s="23"/>
      <c r="X33" s="23"/>
    </row>
    <row r="34" spans="1:24" s="107" customFormat="1" ht="11.25" customHeight="1" x14ac:dyDescent="0.2">
      <c r="A34" s="113"/>
      <c r="B34" s="259"/>
      <c r="C34" s="260"/>
      <c r="D34" s="109"/>
      <c r="E34" s="108"/>
      <c r="F34" s="108"/>
      <c r="G34" s="108"/>
      <c r="H34" s="108"/>
      <c r="I34" s="108"/>
      <c r="J34" s="108"/>
      <c r="K34" s="108"/>
      <c r="L34" s="170"/>
      <c r="M34" s="108"/>
      <c r="N34" s="169"/>
      <c r="O34" s="170"/>
      <c r="P34" s="108"/>
      <c r="Q34" s="170"/>
      <c r="R34" s="109"/>
      <c r="S34" s="108"/>
      <c r="T34" s="108"/>
    </row>
    <row r="35" spans="1:24" s="107" customFormat="1" ht="11.25" customHeight="1" x14ac:dyDescent="0.2">
      <c r="A35" s="172"/>
      <c r="B35" s="261"/>
      <c r="C35" s="262"/>
      <c r="D35" s="173"/>
      <c r="E35" s="114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</row>
    <row r="36" spans="1:24" s="1" customFormat="1" ht="11.25" customHeight="1" x14ac:dyDescent="0.2">
      <c r="A36" s="58" t="s">
        <v>31</v>
      </c>
      <c r="B36" s="59"/>
      <c r="C36" s="59"/>
      <c r="D36" s="62">
        <f t="shared" ref="D36:T36" si="5">SUM(D34:D35)</f>
        <v>0</v>
      </c>
      <c r="E36" s="132">
        <f t="shared" si="5"/>
        <v>0</v>
      </c>
      <c r="F36" s="38">
        <f t="shared" si="5"/>
        <v>0</v>
      </c>
      <c r="G36" s="37">
        <f t="shared" si="5"/>
        <v>0</v>
      </c>
      <c r="H36" s="37">
        <f t="shared" si="5"/>
        <v>0</v>
      </c>
      <c r="I36" s="37">
        <f t="shared" si="5"/>
        <v>0</v>
      </c>
      <c r="J36" s="37">
        <f t="shared" si="5"/>
        <v>0</v>
      </c>
      <c r="K36" s="37">
        <f t="shared" si="5"/>
        <v>0</v>
      </c>
      <c r="L36" s="37">
        <f t="shared" si="5"/>
        <v>0</v>
      </c>
      <c r="M36" s="37">
        <f t="shared" si="5"/>
        <v>0</v>
      </c>
      <c r="N36" s="37">
        <f t="shared" si="5"/>
        <v>0</v>
      </c>
      <c r="O36" s="37">
        <f t="shared" si="5"/>
        <v>0</v>
      </c>
      <c r="P36" s="37">
        <f t="shared" si="5"/>
        <v>0</v>
      </c>
      <c r="Q36" s="37">
        <f t="shared" si="5"/>
        <v>0</v>
      </c>
      <c r="R36" s="39">
        <f t="shared" si="5"/>
        <v>0</v>
      </c>
      <c r="S36" s="37">
        <f t="shared" si="5"/>
        <v>0</v>
      </c>
      <c r="T36" s="37">
        <f t="shared" si="5"/>
        <v>0</v>
      </c>
      <c r="U36" s="37"/>
      <c r="V36" s="120"/>
      <c r="W36" s="120"/>
      <c r="X36" s="120"/>
    </row>
    <row r="37" spans="1:24" s="1" customFormat="1" ht="11.25" customHeight="1" x14ac:dyDescent="0.2">
      <c r="A37" s="220" t="s">
        <v>62</v>
      </c>
      <c r="B37" s="221"/>
      <c r="C37" s="221"/>
      <c r="D37" s="222"/>
      <c r="E37" s="188"/>
      <c r="F37" s="66">
        <f>F36/F39</f>
        <v>0</v>
      </c>
      <c r="G37" s="42">
        <f t="shared" ref="G37:T37" si="6">G36/G39</f>
        <v>0</v>
      </c>
      <c r="H37" s="42">
        <f t="shared" si="6"/>
        <v>0</v>
      </c>
      <c r="I37" s="42">
        <f t="shared" si="6"/>
        <v>0</v>
      </c>
      <c r="J37" s="42">
        <f t="shared" si="6"/>
        <v>0</v>
      </c>
      <c r="K37" s="42">
        <f t="shared" si="6"/>
        <v>0</v>
      </c>
      <c r="L37" s="42">
        <f t="shared" si="6"/>
        <v>0</v>
      </c>
      <c r="M37" s="42">
        <f t="shared" si="6"/>
        <v>0</v>
      </c>
      <c r="N37" s="42">
        <f t="shared" si="6"/>
        <v>0</v>
      </c>
      <c r="O37" s="42">
        <f t="shared" si="6"/>
        <v>0</v>
      </c>
      <c r="P37" s="42">
        <f t="shared" si="6"/>
        <v>0</v>
      </c>
      <c r="Q37" s="42">
        <f t="shared" si="6"/>
        <v>0</v>
      </c>
      <c r="R37" s="42">
        <f t="shared" si="6"/>
        <v>0</v>
      </c>
      <c r="S37" s="42">
        <f t="shared" si="6"/>
        <v>0</v>
      </c>
      <c r="T37" s="42">
        <f t="shared" si="6"/>
        <v>0</v>
      </c>
      <c r="U37" s="122"/>
      <c r="V37" s="120"/>
      <c r="W37" s="120"/>
      <c r="X37" s="120"/>
    </row>
    <row r="38" spans="1:24" s="1" customFormat="1" ht="11.25" customHeight="1" x14ac:dyDescent="0.2">
      <c r="A38" s="235" t="s">
        <v>61</v>
      </c>
      <c r="B38" s="236"/>
      <c r="C38" s="236"/>
      <c r="D38" s="237"/>
      <c r="E38" s="193"/>
      <c r="F38" s="38">
        <f t="shared" ref="F38:T38" si="7">SUM(F18,F30,F36)</f>
        <v>53.291333333333334</v>
      </c>
      <c r="G38" s="37">
        <f t="shared" si="7"/>
        <v>52.895333333333333</v>
      </c>
      <c r="H38" s="37">
        <f t="shared" si="7"/>
        <v>217.66533333333336</v>
      </c>
      <c r="I38" s="37">
        <f t="shared" si="7"/>
        <v>1493.3046666666669</v>
      </c>
      <c r="J38" s="38">
        <f t="shared" si="7"/>
        <v>1.1839999999999999</v>
      </c>
      <c r="K38" s="38">
        <f t="shared" si="7"/>
        <v>0.98533333333333339</v>
      </c>
      <c r="L38" s="37">
        <f t="shared" si="7"/>
        <v>42.044333333333341</v>
      </c>
      <c r="M38" s="38">
        <f t="shared" si="7"/>
        <v>12.350333333333333</v>
      </c>
      <c r="N38" s="38">
        <f t="shared" si="7"/>
        <v>9.2800000000000011</v>
      </c>
      <c r="O38" s="37">
        <f t="shared" si="7"/>
        <v>668.75800000000004</v>
      </c>
      <c r="P38" s="37">
        <f t="shared" si="7"/>
        <v>1166.1533333333332</v>
      </c>
      <c r="Q38" s="38">
        <f t="shared" si="7"/>
        <v>4.8448000000000011</v>
      </c>
      <c r="R38" s="39">
        <f t="shared" si="7"/>
        <v>4.5991666666666667E-2</v>
      </c>
      <c r="S38" s="38">
        <f t="shared" si="7"/>
        <v>282.35166666666669</v>
      </c>
      <c r="T38" s="38">
        <f t="shared" si="7"/>
        <v>9.8963333333333328</v>
      </c>
      <c r="U38" s="40"/>
      <c r="V38" s="120"/>
      <c r="W38" s="120"/>
      <c r="X38" s="120"/>
    </row>
    <row r="39" spans="1:24" s="1" customFormat="1" ht="11.25" customHeight="1" x14ac:dyDescent="0.2">
      <c r="A39" s="235" t="s">
        <v>63</v>
      </c>
      <c r="B39" s="236"/>
      <c r="C39" s="236"/>
      <c r="D39" s="237"/>
      <c r="E39" s="193"/>
      <c r="F39" s="126">
        <v>90</v>
      </c>
      <c r="G39" s="124">
        <v>92</v>
      </c>
      <c r="H39" s="124">
        <v>383</v>
      </c>
      <c r="I39" s="124">
        <v>2720</v>
      </c>
      <c r="J39" s="126">
        <v>1.4</v>
      </c>
      <c r="K39" s="126">
        <v>1.6</v>
      </c>
      <c r="L39" s="125">
        <v>70</v>
      </c>
      <c r="M39" s="126">
        <v>0.9</v>
      </c>
      <c r="N39" s="125">
        <v>12</v>
      </c>
      <c r="O39" s="125">
        <v>1200</v>
      </c>
      <c r="P39" s="125">
        <v>1200</v>
      </c>
      <c r="Q39" s="125">
        <v>14</v>
      </c>
      <c r="R39" s="124">
        <v>0.1</v>
      </c>
      <c r="S39" s="125">
        <v>300</v>
      </c>
      <c r="T39" s="126">
        <v>18</v>
      </c>
      <c r="U39" s="128"/>
      <c r="V39" s="129"/>
      <c r="W39" s="129"/>
      <c r="X39" s="129"/>
    </row>
    <row r="40" spans="1:24" s="1" customFormat="1" ht="11.25" customHeight="1" x14ac:dyDescent="0.2">
      <c r="A40" s="220" t="s">
        <v>62</v>
      </c>
      <c r="B40" s="221"/>
      <c r="C40" s="221"/>
      <c r="D40" s="222"/>
      <c r="E40" s="188"/>
      <c r="F40" s="66">
        <f t="shared" ref="F40:T40" si="8">F38/F39</f>
        <v>0.59212592592592594</v>
      </c>
      <c r="G40" s="42">
        <f t="shared" si="8"/>
        <v>0.57494927536231888</v>
      </c>
      <c r="H40" s="42">
        <f t="shared" si="8"/>
        <v>0.56831679721496964</v>
      </c>
      <c r="I40" s="42">
        <f t="shared" si="8"/>
        <v>0.54900906862745102</v>
      </c>
      <c r="J40" s="42">
        <f t="shared" si="8"/>
        <v>0.84571428571428575</v>
      </c>
      <c r="K40" s="42">
        <f t="shared" si="8"/>
        <v>0.61583333333333334</v>
      </c>
      <c r="L40" s="42">
        <f t="shared" si="8"/>
        <v>0.60063333333333346</v>
      </c>
      <c r="M40" s="43">
        <f t="shared" si="8"/>
        <v>13.722592592592592</v>
      </c>
      <c r="N40" s="42">
        <f t="shared" si="8"/>
        <v>0.77333333333333343</v>
      </c>
      <c r="O40" s="42">
        <f t="shared" si="8"/>
        <v>0.55729833333333334</v>
      </c>
      <c r="P40" s="42">
        <f t="shared" si="8"/>
        <v>0.97179444444444429</v>
      </c>
      <c r="Q40" s="42">
        <f t="shared" si="8"/>
        <v>0.34605714285714295</v>
      </c>
      <c r="R40" s="43">
        <f t="shared" si="8"/>
        <v>0.45991666666666664</v>
      </c>
      <c r="S40" s="42">
        <f t="shared" si="8"/>
        <v>0.9411722222222223</v>
      </c>
      <c r="T40" s="43">
        <f t="shared" si="8"/>
        <v>0.54979629629629623</v>
      </c>
      <c r="U40" s="44"/>
      <c r="V40" s="45"/>
      <c r="W40" s="45"/>
      <c r="X40" s="45"/>
    </row>
    <row r="41" spans="1:24" s="1" customFormat="1" ht="11.25" customHeight="1" x14ac:dyDescent="0.2">
      <c r="A41" s="51"/>
      <c r="B41" s="51"/>
      <c r="C41" s="185"/>
      <c r="D41" s="185"/>
      <c r="E41" s="185"/>
      <c r="F41" s="91"/>
      <c r="G41" s="118"/>
      <c r="H41" s="2"/>
      <c r="I41" s="2"/>
      <c r="J41" s="118"/>
      <c r="K41" s="118"/>
      <c r="L41" s="118"/>
      <c r="M41" s="206" t="s">
        <v>65</v>
      </c>
      <c r="N41" s="206"/>
      <c r="O41" s="206"/>
      <c r="P41" s="206"/>
      <c r="Q41" s="206"/>
      <c r="R41" s="206"/>
      <c r="S41" s="206"/>
      <c r="T41" s="206"/>
      <c r="U41" s="11"/>
      <c r="V41" s="18"/>
      <c r="W41" s="18"/>
      <c r="X41" s="18"/>
    </row>
    <row r="42" spans="1:24" s="1" customFormat="1" ht="11.25" customHeight="1" x14ac:dyDescent="0.2">
      <c r="A42" s="51"/>
      <c r="B42" s="51"/>
      <c r="C42" s="185"/>
      <c r="D42" s="185"/>
      <c r="E42" s="185"/>
      <c r="F42" s="91"/>
      <c r="G42" s="118"/>
      <c r="H42" s="2"/>
      <c r="I42" s="2"/>
      <c r="J42" s="118"/>
      <c r="K42" s="118"/>
      <c r="L42" s="118"/>
      <c r="M42" s="184"/>
      <c r="N42" s="184"/>
      <c r="O42" s="184"/>
      <c r="P42" s="184"/>
      <c r="Q42" s="184"/>
      <c r="R42" s="184"/>
      <c r="S42" s="184"/>
      <c r="T42" s="184"/>
      <c r="U42" s="11"/>
      <c r="V42" s="18"/>
      <c r="W42" s="18"/>
      <c r="X42" s="18"/>
    </row>
    <row r="43" spans="1:24" ht="11.25" customHeight="1" x14ac:dyDescent="0.2">
      <c r="A43" s="51"/>
      <c r="B43" s="51"/>
      <c r="C43" s="51"/>
      <c r="D43" s="118"/>
      <c r="E43" s="118"/>
      <c r="F43" s="119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3"/>
      <c r="V43" s="19"/>
      <c r="W43" s="19"/>
      <c r="X43" s="19"/>
    </row>
    <row r="44" spans="1:24" ht="29.25" customHeight="1" x14ac:dyDescent="0.2">
      <c r="A44" s="254" t="s">
        <v>67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13"/>
      <c r="V44" s="19"/>
      <c r="W44" s="19"/>
      <c r="X44" s="19"/>
    </row>
    <row r="45" spans="1:24" ht="29.25" customHeight="1" x14ac:dyDescent="0.2">
      <c r="A45" s="52"/>
      <c r="B45" s="52"/>
      <c r="C45" s="52"/>
      <c r="D45" s="3"/>
      <c r="E45" s="3"/>
      <c r="F45" s="92"/>
      <c r="G45" s="3"/>
      <c r="H45" s="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6"/>
      <c r="V45" s="19"/>
      <c r="W45" s="19"/>
      <c r="X45" s="19"/>
    </row>
    <row r="46" spans="1:24" s="84" customFormat="1" ht="13.5" customHeight="1" x14ac:dyDescent="0.2">
      <c r="A46" s="85"/>
      <c r="B46" s="85"/>
      <c r="C46" s="85"/>
      <c r="D46" s="85"/>
      <c r="E46" s="85"/>
      <c r="F46" s="93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6"/>
      <c r="W46" s="83"/>
      <c r="X46" s="83"/>
    </row>
  </sheetData>
  <autoFilter ref="B1:B46"/>
  <mergeCells count="52">
    <mergeCell ref="N5:T5"/>
    <mergeCell ref="M1:T1"/>
    <mergeCell ref="U1:U5"/>
    <mergeCell ref="V1:V5"/>
    <mergeCell ref="X1:X5"/>
    <mergeCell ref="A2:T2"/>
    <mergeCell ref="G4:I4"/>
    <mergeCell ref="L4:M4"/>
    <mergeCell ref="N4:Q4"/>
    <mergeCell ref="D5:F5"/>
    <mergeCell ref="L5:M5"/>
    <mergeCell ref="M6:T6"/>
    <mergeCell ref="A7:T7"/>
    <mergeCell ref="G8:I8"/>
    <mergeCell ref="L8:M8"/>
    <mergeCell ref="N8:Q8"/>
    <mergeCell ref="B17:C17"/>
    <mergeCell ref="D9:F9"/>
    <mergeCell ref="L9:M9"/>
    <mergeCell ref="N9:T9"/>
    <mergeCell ref="A10:A11"/>
    <mergeCell ref="B10:C11"/>
    <mergeCell ref="D10:D11"/>
    <mergeCell ref="F10:H10"/>
    <mergeCell ref="I10:I11"/>
    <mergeCell ref="J10:N10"/>
    <mergeCell ref="O10:T10"/>
    <mergeCell ref="B12:C12"/>
    <mergeCell ref="A13:T13"/>
    <mergeCell ref="B14:C14"/>
    <mergeCell ref="B15:C15"/>
    <mergeCell ref="B16:C16"/>
    <mergeCell ref="A33:T33"/>
    <mergeCell ref="A19:D19"/>
    <mergeCell ref="A21:T21"/>
    <mergeCell ref="B22:C22"/>
    <mergeCell ref="B23:C23"/>
    <mergeCell ref="B24:C24"/>
    <mergeCell ref="B25:C25"/>
    <mergeCell ref="B26:C26"/>
    <mergeCell ref="B27:C27"/>
    <mergeCell ref="B28:C28"/>
    <mergeCell ref="B29:C29"/>
    <mergeCell ref="A31:D31"/>
    <mergeCell ref="M41:T41"/>
    <mergeCell ref="A44:T44"/>
    <mergeCell ref="B34:C34"/>
    <mergeCell ref="B35:C35"/>
    <mergeCell ref="A37:D37"/>
    <mergeCell ref="A38:D38"/>
    <mergeCell ref="A39:D39"/>
    <mergeCell ref="A40:D40"/>
  </mergeCells>
  <pageMargins left="0.7" right="0.7" top="0.75" bottom="0.75" header="0.3" footer="0.3"/>
  <pageSetup paperSize="9" scale="79" orientation="landscape" r:id="rId1"/>
  <rowBreaks count="2" manualBreakCount="2">
    <brk id="5" max="19" man="1"/>
    <brk id="40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X43"/>
  <sheetViews>
    <sheetView view="pageBreakPreview" zoomScale="80" zoomScaleNormal="80" zoomScaleSheetLayoutView="80" workbookViewId="0">
      <selection activeCell="J22" sqref="J22"/>
    </sheetView>
  </sheetViews>
  <sheetFormatPr defaultRowHeight="11.25" x14ac:dyDescent="0.2"/>
  <cols>
    <col min="1" max="1" width="9.5" style="53" customWidth="1"/>
    <col min="2" max="2" width="16.33203125" style="53" customWidth="1"/>
    <col min="3" max="3" width="25.1640625" style="53" customWidth="1"/>
    <col min="4" max="4" width="8" style="4" customWidth="1"/>
    <col min="5" max="5" width="9.6640625" style="4" customWidth="1"/>
    <col min="6" max="6" width="9.83203125" style="94" customWidth="1"/>
    <col min="7" max="7" width="9.6640625" style="4" customWidth="1"/>
    <col min="8" max="8" width="8.5" style="4" customWidth="1"/>
    <col min="9" max="9" width="10" style="4" customWidth="1"/>
    <col min="10" max="10" width="9" style="4" customWidth="1"/>
    <col min="11" max="11" width="9.83203125" style="4" customWidth="1"/>
    <col min="12" max="12" width="8.83203125" style="4" customWidth="1"/>
    <col min="13" max="13" width="10.33203125" style="4" customWidth="1"/>
    <col min="14" max="14" width="9.5" style="4" customWidth="1"/>
    <col min="15" max="15" width="9.33203125" style="4" customWidth="1"/>
    <col min="16" max="17" width="9.1640625" style="4" customWidth="1"/>
    <col min="18" max="18" width="9" style="4" customWidth="1"/>
    <col min="19" max="19" width="9.5" style="4" customWidth="1"/>
    <col min="20" max="20" width="8.6640625" style="4" customWidth="1"/>
    <col min="21" max="21" width="9.1640625" style="17" customWidth="1"/>
    <col min="22" max="23" width="9.1640625" style="26" customWidth="1"/>
    <col min="24" max="24" width="11.6640625" style="26" customWidth="1"/>
  </cols>
  <sheetData>
    <row r="1" spans="1:24" s="1" customFormat="1" ht="11.25" customHeight="1" x14ac:dyDescent="0.2">
      <c r="A1" s="54"/>
      <c r="B1" s="51"/>
      <c r="C1" s="51"/>
      <c r="D1" s="118"/>
      <c r="E1" s="118"/>
      <c r="F1" s="119"/>
      <c r="G1" s="118"/>
      <c r="H1" s="118"/>
      <c r="I1" s="118"/>
      <c r="J1" s="118"/>
      <c r="K1" s="118"/>
      <c r="L1" s="2"/>
      <c r="M1" s="206" t="s">
        <v>65</v>
      </c>
      <c r="N1" s="206"/>
      <c r="O1" s="206"/>
      <c r="P1" s="206"/>
      <c r="Q1" s="206"/>
      <c r="R1" s="206"/>
      <c r="S1" s="206"/>
      <c r="T1" s="206"/>
      <c r="U1" s="213"/>
      <c r="V1" s="202"/>
      <c r="W1" s="194"/>
      <c r="X1" s="202"/>
    </row>
    <row r="2" spans="1:24" s="1" customFormat="1" ht="15.75" customHeight="1" x14ac:dyDescent="0.25">
      <c r="A2" s="207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14"/>
      <c r="V2" s="202"/>
      <c r="W2" s="194"/>
      <c r="X2" s="202"/>
    </row>
    <row r="3" spans="1:24" s="1" customFormat="1" ht="15.75" customHeight="1" x14ac:dyDescent="0.25">
      <c r="A3" s="195"/>
      <c r="B3" s="195"/>
      <c r="C3" s="195"/>
      <c r="D3" s="195"/>
      <c r="E3" s="195"/>
      <c r="F3" s="195"/>
      <c r="G3" s="195"/>
      <c r="H3" s="195" t="s">
        <v>119</v>
      </c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214"/>
      <c r="V3" s="202"/>
      <c r="W3" s="194"/>
      <c r="X3" s="202"/>
    </row>
    <row r="4" spans="1:24" s="1" customFormat="1" ht="11.25" customHeight="1" x14ac:dyDescent="0.2">
      <c r="A4" s="55" t="s">
        <v>55</v>
      </c>
      <c r="B4" s="51"/>
      <c r="C4" s="51"/>
      <c r="D4" s="2"/>
      <c r="E4" s="2"/>
      <c r="F4" s="119"/>
      <c r="G4" s="208" t="s">
        <v>1</v>
      </c>
      <c r="H4" s="208"/>
      <c r="I4" s="208"/>
      <c r="J4" s="118"/>
      <c r="K4" s="118"/>
      <c r="L4" s="201" t="s">
        <v>2</v>
      </c>
      <c r="M4" s="201"/>
      <c r="N4" s="240"/>
      <c r="O4" s="240"/>
      <c r="P4" s="240"/>
      <c r="Q4" s="240"/>
      <c r="R4" s="118"/>
      <c r="S4" s="118"/>
      <c r="T4" s="118"/>
      <c r="U4" s="214"/>
      <c r="V4" s="202"/>
      <c r="W4" s="194"/>
      <c r="X4" s="202"/>
    </row>
    <row r="5" spans="1:24" s="1" customFormat="1" ht="11.25" customHeight="1" x14ac:dyDescent="0.2">
      <c r="A5" s="51"/>
      <c r="B5" s="51"/>
      <c r="C5" s="51"/>
      <c r="D5" s="201" t="s">
        <v>3</v>
      </c>
      <c r="E5" s="201"/>
      <c r="F5" s="201"/>
      <c r="G5" s="6">
        <v>1</v>
      </c>
      <c r="H5" s="118"/>
      <c r="I5" s="2"/>
      <c r="J5" s="2"/>
      <c r="K5" s="2"/>
      <c r="L5" s="201" t="s">
        <v>4</v>
      </c>
      <c r="M5" s="201"/>
      <c r="N5" s="208" t="s">
        <v>118</v>
      </c>
      <c r="O5" s="208"/>
      <c r="P5" s="208"/>
      <c r="Q5" s="208"/>
      <c r="R5" s="208"/>
      <c r="S5" s="208"/>
      <c r="T5" s="208"/>
      <c r="U5" s="215"/>
      <c r="V5" s="216"/>
      <c r="W5" s="194"/>
      <c r="X5" s="202"/>
    </row>
    <row r="6" spans="1:24" s="1" customFormat="1" ht="11.25" customHeight="1" x14ac:dyDescent="0.2">
      <c r="A6" s="249" t="s">
        <v>42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12"/>
      <c r="V6" s="24"/>
      <c r="W6" s="24"/>
      <c r="X6" s="24"/>
    </row>
    <row r="7" spans="1:24" s="1" customFormat="1" ht="11.25" customHeight="1" x14ac:dyDescent="0.2">
      <c r="A7" s="55" t="s">
        <v>56</v>
      </c>
      <c r="B7" s="51"/>
      <c r="C7" s="51"/>
      <c r="D7" s="2"/>
      <c r="E7" s="2"/>
      <c r="F7" s="119"/>
      <c r="G7" s="208" t="s">
        <v>35</v>
      </c>
      <c r="H7" s="208"/>
      <c r="I7" s="208"/>
      <c r="J7" s="118"/>
      <c r="K7" s="118"/>
      <c r="L7" s="201" t="s">
        <v>2</v>
      </c>
      <c r="M7" s="201"/>
      <c r="N7" s="240"/>
      <c r="O7" s="240"/>
      <c r="P7" s="240"/>
      <c r="Q7" s="240"/>
      <c r="R7" s="118"/>
      <c r="S7" s="118"/>
      <c r="T7" s="118"/>
      <c r="U7" s="13"/>
      <c r="V7" s="19"/>
      <c r="W7" s="19"/>
      <c r="X7" s="19"/>
    </row>
    <row r="8" spans="1:24" s="1" customFormat="1" ht="11.25" customHeight="1" x14ac:dyDescent="0.2">
      <c r="A8" s="51"/>
      <c r="B8" s="51"/>
      <c r="C8" s="51"/>
      <c r="D8" s="253" t="s">
        <v>3</v>
      </c>
      <c r="E8" s="253"/>
      <c r="F8" s="253"/>
      <c r="G8" s="6">
        <v>2</v>
      </c>
      <c r="H8" s="118"/>
      <c r="I8" s="2"/>
      <c r="J8" s="2"/>
      <c r="K8" s="2"/>
      <c r="L8" s="253" t="s">
        <v>4</v>
      </c>
      <c r="M8" s="253"/>
      <c r="N8" s="208" t="s">
        <v>118</v>
      </c>
      <c r="O8" s="208"/>
      <c r="P8" s="208"/>
      <c r="Q8" s="208"/>
      <c r="R8" s="208"/>
      <c r="S8" s="208"/>
      <c r="T8" s="208"/>
      <c r="U8" s="14"/>
      <c r="V8" s="20"/>
      <c r="W8" s="20"/>
      <c r="X8" s="20"/>
    </row>
    <row r="9" spans="1:24" s="1" customFormat="1" ht="21.75" customHeight="1" x14ac:dyDescent="0.2">
      <c r="A9" s="217" t="s">
        <v>5</v>
      </c>
      <c r="B9" s="209" t="s">
        <v>6</v>
      </c>
      <c r="C9" s="210"/>
      <c r="D9" s="217" t="s">
        <v>7</v>
      </c>
      <c r="E9" s="196"/>
      <c r="F9" s="203" t="s">
        <v>8</v>
      </c>
      <c r="G9" s="204"/>
      <c r="H9" s="205"/>
      <c r="I9" s="217" t="s">
        <v>9</v>
      </c>
      <c r="J9" s="203" t="s">
        <v>10</v>
      </c>
      <c r="K9" s="204"/>
      <c r="L9" s="204"/>
      <c r="M9" s="204"/>
      <c r="N9" s="205"/>
      <c r="O9" s="203" t="s">
        <v>11</v>
      </c>
      <c r="P9" s="204"/>
      <c r="Q9" s="204"/>
      <c r="R9" s="204"/>
      <c r="S9" s="204"/>
      <c r="T9" s="205"/>
      <c r="U9" s="8"/>
      <c r="V9" s="21"/>
      <c r="W9" s="21"/>
      <c r="X9" s="21"/>
    </row>
    <row r="10" spans="1:24" s="1" customFormat="1" ht="21" customHeight="1" x14ac:dyDescent="0.2">
      <c r="A10" s="218"/>
      <c r="B10" s="211"/>
      <c r="C10" s="212"/>
      <c r="D10" s="218"/>
      <c r="E10" s="190">
        <v>8</v>
      </c>
      <c r="F10" s="89" t="s">
        <v>12</v>
      </c>
      <c r="G10" s="197" t="s">
        <v>13</v>
      </c>
      <c r="H10" s="197" t="s">
        <v>14</v>
      </c>
      <c r="I10" s="218"/>
      <c r="J10" s="197" t="s">
        <v>15</v>
      </c>
      <c r="K10" s="197" t="s">
        <v>57</v>
      </c>
      <c r="L10" s="197" t="s">
        <v>16</v>
      </c>
      <c r="M10" s="197" t="s">
        <v>17</v>
      </c>
      <c r="N10" s="197" t="s">
        <v>18</v>
      </c>
      <c r="O10" s="197" t="s">
        <v>19</v>
      </c>
      <c r="P10" s="197" t="s">
        <v>20</v>
      </c>
      <c r="Q10" s="197" t="s">
        <v>58</v>
      </c>
      <c r="R10" s="197" t="s">
        <v>59</v>
      </c>
      <c r="S10" s="197" t="s">
        <v>21</v>
      </c>
      <c r="T10" s="197" t="s">
        <v>22</v>
      </c>
      <c r="U10" s="8"/>
      <c r="V10" s="21"/>
      <c r="W10" s="21"/>
      <c r="X10" s="21"/>
    </row>
    <row r="11" spans="1:24" s="1" customFormat="1" ht="11.25" customHeight="1" x14ac:dyDescent="0.2">
      <c r="A11" s="198">
        <v>1</v>
      </c>
      <c r="B11" s="233">
        <v>2</v>
      </c>
      <c r="C11" s="234"/>
      <c r="D11" s="36">
        <v>3</v>
      </c>
      <c r="E11" s="36"/>
      <c r="F11" s="90">
        <v>4</v>
      </c>
      <c r="G11" s="36">
        <v>5</v>
      </c>
      <c r="H11" s="36">
        <v>6</v>
      </c>
      <c r="I11" s="36">
        <v>7</v>
      </c>
      <c r="J11" s="36">
        <v>8</v>
      </c>
      <c r="K11" s="36">
        <v>9</v>
      </c>
      <c r="L11" s="36">
        <v>10</v>
      </c>
      <c r="M11" s="36">
        <v>11</v>
      </c>
      <c r="N11" s="36">
        <v>12</v>
      </c>
      <c r="O11" s="36">
        <v>13</v>
      </c>
      <c r="P11" s="36">
        <v>14</v>
      </c>
      <c r="Q11" s="36">
        <v>15</v>
      </c>
      <c r="R11" s="36">
        <v>16</v>
      </c>
      <c r="S11" s="36">
        <v>17</v>
      </c>
      <c r="T11" s="36">
        <v>18</v>
      </c>
      <c r="U11" s="9"/>
      <c r="V11" s="22"/>
      <c r="W11" s="22"/>
      <c r="X11" s="22"/>
    </row>
    <row r="12" spans="1:24" s="1" customFormat="1" ht="11.25" customHeight="1" x14ac:dyDescent="0.2">
      <c r="A12" s="227" t="s">
        <v>23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9"/>
      <c r="U12" s="10"/>
      <c r="V12" s="23"/>
      <c r="W12" s="23"/>
      <c r="X12" s="23"/>
    </row>
    <row r="13" spans="1:24" s="1" customFormat="1" ht="21.75" customHeight="1" x14ac:dyDescent="0.2">
      <c r="A13" s="198">
        <v>71</v>
      </c>
      <c r="B13" s="231" t="s">
        <v>111</v>
      </c>
      <c r="C13" s="232"/>
      <c r="D13" s="123">
        <v>40</v>
      </c>
      <c r="E13" s="123">
        <v>9.2200000000000006</v>
      </c>
      <c r="F13" s="126">
        <f>0.33*D13/30</f>
        <v>0.44000000000000006</v>
      </c>
      <c r="G13" s="126">
        <f>0.08*D13/40</f>
        <v>0.08</v>
      </c>
      <c r="H13" s="126">
        <f>3.8*D13/100</f>
        <v>1.52</v>
      </c>
      <c r="I13" s="126">
        <f>F13*4+G13*9+H13*4</f>
        <v>8.56</v>
      </c>
      <c r="J13" s="127">
        <f>0.027*D13/40</f>
        <v>2.7000000000000003E-2</v>
      </c>
      <c r="K13" s="127">
        <f>0.032*D13/40</f>
        <v>3.2000000000000001E-2</v>
      </c>
      <c r="L13" s="126">
        <f>9.733*D13/40</f>
        <v>9.7330000000000005</v>
      </c>
      <c r="M13" s="126">
        <f>0.36*D13/40</f>
        <v>0.36</v>
      </c>
      <c r="N13" s="123">
        <f>1.88*D13/40</f>
        <v>1.8799999999999997</v>
      </c>
      <c r="O13" s="124">
        <f>24.4*D13/40</f>
        <v>24.4</v>
      </c>
      <c r="P13" s="124">
        <f>30.36*D13/40</f>
        <v>30.360000000000003</v>
      </c>
      <c r="Q13" s="126">
        <f>0.28*D13/40</f>
        <v>0.28000000000000003</v>
      </c>
      <c r="R13" s="127">
        <f>0.005*D13/40</f>
        <v>5.0000000000000001E-3</v>
      </c>
      <c r="S13" s="126">
        <f>10.2*D13/40</f>
        <v>10.199999999999999</v>
      </c>
      <c r="T13" s="126">
        <f>0.4*D13/40</f>
        <v>0.4</v>
      </c>
      <c r="U13" s="128"/>
      <c r="V13" s="129"/>
      <c r="W13" s="129"/>
      <c r="X13" s="129"/>
    </row>
    <row r="14" spans="1:24" s="118" customFormat="1" ht="11.25" customHeight="1" x14ac:dyDescent="0.2">
      <c r="A14" s="198">
        <v>291</v>
      </c>
      <c r="B14" s="231" t="s">
        <v>50</v>
      </c>
      <c r="C14" s="232"/>
      <c r="D14" s="125">
        <v>240</v>
      </c>
      <c r="E14" s="126">
        <v>45.63</v>
      </c>
      <c r="F14" s="126">
        <v>22.35</v>
      </c>
      <c r="G14" s="126">
        <v>26.13</v>
      </c>
      <c r="H14" s="126">
        <v>47.231999999999999</v>
      </c>
      <c r="I14" s="126">
        <v>513.57000000000005</v>
      </c>
      <c r="J14" s="126">
        <v>0.81</v>
      </c>
      <c r="K14" s="126">
        <v>0.79</v>
      </c>
      <c r="L14" s="126">
        <v>4.29</v>
      </c>
      <c r="M14" s="126">
        <v>0.46</v>
      </c>
      <c r="N14" s="123">
        <v>0</v>
      </c>
      <c r="O14" s="126">
        <v>44.29</v>
      </c>
      <c r="P14" s="126">
        <v>301.64999999999998</v>
      </c>
      <c r="Q14" s="125">
        <v>0</v>
      </c>
      <c r="R14" s="125">
        <v>0</v>
      </c>
      <c r="S14" s="126">
        <v>64.39</v>
      </c>
      <c r="T14" s="126">
        <v>2.77</v>
      </c>
      <c r="U14" s="128"/>
      <c r="V14" s="129"/>
      <c r="W14" s="129"/>
      <c r="X14" s="129"/>
    </row>
    <row r="15" spans="1:24" s="118" customFormat="1" ht="12.75" customHeight="1" x14ac:dyDescent="0.2">
      <c r="A15" s="198">
        <v>379</v>
      </c>
      <c r="B15" s="231" t="s">
        <v>52</v>
      </c>
      <c r="C15" s="232"/>
      <c r="D15" s="125">
        <v>200</v>
      </c>
      <c r="E15" s="126">
        <v>12.05</v>
      </c>
      <c r="F15" s="126">
        <v>3.17</v>
      </c>
      <c r="G15" s="126">
        <v>2.68</v>
      </c>
      <c r="H15" s="126">
        <v>15.95</v>
      </c>
      <c r="I15" s="126">
        <f>F15*4+G15*9+H15*4</f>
        <v>100.6</v>
      </c>
      <c r="J15" s="126">
        <v>0.04</v>
      </c>
      <c r="K15" s="126">
        <v>0.15</v>
      </c>
      <c r="L15" s="126">
        <v>1.3</v>
      </c>
      <c r="M15" s="127">
        <v>0.03</v>
      </c>
      <c r="N15" s="123">
        <v>0.06</v>
      </c>
      <c r="O15" s="126">
        <v>120.4</v>
      </c>
      <c r="P15" s="124">
        <v>90</v>
      </c>
      <c r="Q15" s="126">
        <v>1.1000000000000001</v>
      </c>
      <c r="R15" s="127">
        <v>0.01</v>
      </c>
      <c r="S15" s="126">
        <v>14</v>
      </c>
      <c r="T15" s="126">
        <v>0.12</v>
      </c>
      <c r="U15" s="128"/>
      <c r="V15" s="129"/>
      <c r="W15" s="129"/>
      <c r="X15" s="129"/>
    </row>
    <row r="16" spans="1:24" s="118" customFormat="1" ht="11.25" customHeight="1" x14ac:dyDescent="0.2">
      <c r="A16" s="131" t="s">
        <v>66</v>
      </c>
      <c r="B16" s="231" t="s">
        <v>53</v>
      </c>
      <c r="C16" s="232"/>
      <c r="D16" s="125">
        <v>40</v>
      </c>
      <c r="E16" s="126">
        <v>3.1</v>
      </c>
      <c r="F16" s="126">
        <f>1.52*D16/30</f>
        <v>2.0266666666666664</v>
      </c>
      <c r="G16" s="127">
        <f>0.16*D16/30</f>
        <v>0.21333333333333335</v>
      </c>
      <c r="H16" s="127">
        <f>9.84*D16/30</f>
        <v>13.120000000000001</v>
      </c>
      <c r="I16" s="127">
        <f>F16*4+G16*9+H16*4</f>
        <v>62.506666666666668</v>
      </c>
      <c r="J16" s="127">
        <f>0.02*D16/30</f>
        <v>2.6666666666666668E-2</v>
      </c>
      <c r="K16" s="127">
        <f>0.01*D16/30</f>
        <v>1.3333333333333334E-2</v>
      </c>
      <c r="L16" s="127">
        <f>0.44*D16/30</f>
        <v>0.58666666666666667</v>
      </c>
      <c r="M16" s="127">
        <v>0</v>
      </c>
      <c r="N16" s="127">
        <f>0.7*D16/30</f>
        <v>0.93333333333333335</v>
      </c>
      <c r="O16" s="127">
        <f>4*D16/30</f>
        <v>5.333333333333333</v>
      </c>
      <c r="P16" s="127">
        <f>13*D16/30</f>
        <v>17.333333333333332</v>
      </c>
      <c r="Q16" s="127">
        <f>0.008*D16/30</f>
        <v>1.0666666666666666E-2</v>
      </c>
      <c r="R16" s="127">
        <f>0.001*D16/30</f>
        <v>1.3333333333333333E-3</v>
      </c>
      <c r="S16" s="127">
        <v>0</v>
      </c>
      <c r="T16" s="127">
        <f>0.22*D16/30</f>
        <v>0.29333333333333333</v>
      </c>
      <c r="U16" s="128"/>
      <c r="V16" s="129"/>
      <c r="W16" s="129"/>
      <c r="X16" s="129"/>
    </row>
    <row r="17" spans="1:24" s="118" customFormat="1" ht="11.25" customHeight="1" x14ac:dyDescent="0.2">
      <c r="A17" s="60" t="s">
        <v>25</v>
      </c>
      <c r="B17" s="61"/>
      <c r="C17" s="61"/>
      <c r="D17" s="62">
        <f t="shared" ref="D17:I17" si="0">SUM(D13:D16)</f>
        <v>520</v>
      </c>
      <c r="E17" s="132">
        <f t="shared" si="0"/>
        <v>70</v>
      </c>
      <c r="F17" s="38">
        <f t="shared" si="0"/>
        <v>27.986666666666668</v>
      </c>
      <c r="G17" s="38">
        <f t="shared" si="0"/>
        <v>29.103333333333332</v>
      </c>
      <c r="H17" s="38">
        <f t="shared" si="0"/>
        <v>77.822000000000003</v>
      </c>
      <c r="I17" s="38">
        <f t="shared" si="0"/>
        <v>685.23666666666668</v>
      </c>
      <c r="J17" s="38">
        <f t="shared" ref="J17:T17" si="1">SUM(J13:J16)</f>
        <v>0.90366666666666673</v>
      </c>
      <c r="K17" s="38">
        <f t="shared" si="1"/>
        <v>0.98533333333333339</v>
      </c>
      <c r="L17" s="38">
        <f t="shared" si="1"/>
        <v>15.909666666666666</v>
      </c>
      <c r="M17" s="38">
        <f t="shared" si="1"/>
        <v>0.85000000000000009</v>
      </c>
      <c r="N17" s="38">
        <f t="shared" si="1"/>
        <v>2.8733333333333331</v>
      </c>
      <c r="O17" s="37">
        <f t="shared" si="1"/>
        <v>194.42333333333335</v>
      </c>
      <c r="P17" s="38">
        <f t="shared" si="1"/>
        <v>439.34333333333331</v>
      </c>
      <c r="Q17" s="38">
        <f t="shared" si="1"/>
        <v>1.3906666666666667</v>
      </c>
      <c r="R17" s="38">
        <f t="shared" si="1"/>
        <v>1.6333333333333332E-2</v>
      </c>
      <c r="S17" s="38">
        <f t="shared" si="1"/>
        <v>88.59</v>
      </c>
      <c r="T17" s="38">
        <f t="shared" si="1"/>
        <v>3.5833333333333335</v>
      </c>
      <c r="U17" s="37"/>
      <c r="V17" s="120"/>
      <c r="W17" s="120"/>
      <c r="X17" s="120"/>
    </row>
    <row r="18" spans="1:24" s="118" customFormat="1" ht="11.25" customHeight="1" x14ac:dyDescent="0.2">
      <c r="A18" s="220" t="s">
        <v>62</v>
      </c>
      <c r="B18" s="221"/>
      <c r="C18" s="221"/>
      <c r="D18" s="222"/>
      <c r="E18" s="187"/>
      <c r="F18" s="133">
        <f t="shared" ref="F18:T18" si="2">F17/F36</f>
        <v>0.310962962962963</v>
      </c>
      <c r="G18" s="42">
        <f t="shared" si="2"/>
        <v>0.3163405797101449</v>
      </c>
      <c r="H18" s="42">
        <f t="shared" si="2"/>
        <v>0.20319060052219323</v>
      </c>
      <c r="I18" s="42">
        <f t="shared" si="2"/>
        <v>0.25192524509803921</v>
      </c>
      <c r="J18" s="42">
        <f t="shared" si="2"/>
        <v>0.64547619047619054</v>
      </c>
      <c r="K18" s="42">
        <f t="shared" si="2"/>
        <v>0.61583333333333334</v>
      </c>
      <c r="L18" s="42">
        <f t="shared" si="2"/>
        <v>0.22728095238095239</v>
      </c>
      <c r="M18" s="42">
        <f t="shared" si="2"/>
        <v>0.94444444444444453</v>
      </c>
      <c r="N18" s="42">
        <f t="shared" si="2"/>
        <v>0.23944444444444443</v>
      </c>
      <c r="O18" s="42">
        <f t="shared" si="2"/>
        <v>0.16201944444444447</v>
      </c>
      <c r="P18" s="42">
        <f t="shared" si="2"/>
        <v>0.36611944444444444</v>
      </c>
      <c r="Q18" s="42">
        <f t="shared" si="2"/>
        <v>9.9333333333333343E-2</v>
      </c>
      <c r="R18" s="42">
        <f t="shared" si="2"/>
        <v>0.1633333333333333</v>
      </c>
      <c r="S18" s="42">
        <f t="shared" si="2"/>
        <v>0.29530000000000001</v>
      </c>
      <c r="T18" s="42">
        <f t="shared" si="2"/>
        <v>0.19907407407407407</v>
      </c>
      <c r="U18" s="122"/>
      <c r="V18" s="120"/>
      <c r="W18" s="120"/>
      <c r="X18" s="120"/>
    </row>
    <row r="19" spans="1:24" s="118" customFormat="1" ht="11.25" customHeight="1" x14ac:dyDescent="0.2">
      <c r="A19" s="244" t="s">
        <v>28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6"/>
      <c r="U19" s="15"/>
      <c r="V19" s="25"/>
      <c r="W19" s="25"/>
      <c r="X19" s="25"/>
    </row>
    <row r="20" spans="1:24" s="118" customFormat="1" ht="11.25" customHeight="1" x14ac:dyDescent="0.2">
      <c r="A20" s="63">
        <v>67</v>
      </c>
      <c r="B20" s="266" t="s">
        <v>79</v>
      </c>
      <c r="C20" s="267"/>
      <c r="D20" s="87">
        <v>100</v>
      </c>
      <c r="E20" s="87">
        <v>11.06</v>
      </c>
      <c r="F20" s="96">
        <f>1.5*D20/60</f>
        <v>2.5</v>
      </c>
      <c r="G20" s="96">
        <f>3.47*D20/60</f>
        <v>5.7833333333333332</v>
      </c>
      <c r="H20" s="88">
        <v>11.28</v>
      </c>
      <c r="I20" s="126">
        <v>107.18</v>
      </c>
      <c r="J20" s="96">
        <f>0.04*D20/60</f>
        <v>6.6666666666666666E-2</v>
      </c>
      <c r="K20" s="63">
        <f>0.03*D20/60</f>
        <v>0.05</v>
      </c>
      <c r="L20" s="96">
        <f>8.6*D20/60</f>
        <v>14.333333333333334</v>
      </c>
      <c r="M20" s="96">
        <f>0.74*D20/60</f>
        <v>1.2333333333333334</v>
      </c>
      <c r="N20" s="96">
        <f>0.2*D20/60</f>
        <v>0.33333333333333331</v>
      </c>
      <c r="O20" s="88">
        <f>23.39*D20/60</f>
        <v>38.983333333333334</v>
      </c>
      <c r="P20" s="88">
        <f>34.04*D20/60</f>
        <v>56.733333333333334</v>
      </c>
      <c r="Q20" s="96">
        <f>0.01*D20/60</f>
        <v>1.6666666666666666E-2</v>
      </c>
      <c r="R20" s="96">
        <f>0.04*D20/60</f>
        <v>6.6666666666666666E-2</v>
      </c>
      <c r="S20" s="96">
        <f>15.61*D20/60</f>
        <v>26.016666666666666</v>
      </c>
      <c r="T20" s="96">
        <f>0.7*D20/60</f>
        <v>1.1666666666666667</v>
      </c>
      <c r="U20" s="15"/>
      <c r="V20" s="25"/>
      <c r="W20" s="25"/>
      <c r="X20" s="25"/>
    </row>
    <row r="21" spans="1:24" s="118" customFormat="1" ht="23.25" customHeight="1" x14ac:dyDescent="0.2">
      <c r="A21" s="198">
        <v>88</v>
      </c>
      <c r="B21" s="256" t="s">
        <v>104</v>
      </c>
      <c r="C21" s="257"/>
      <c r="D21" s="123">
        <v>250</v>
      </c>
      <c r="E21" s="123">
        <v>14.81</v>
      </c>
      <c r="F21" s="126">
        <v>2.44</v>
      </c>
      <c r="G21" s="126">
        <v>6.41</v>
      </c>
      <c r="H21" s="126">
        <v>11.11</v>
      </c>
      <c r="I21" s="126">
        <f>F21*4+G21*9+H21*4</f>
        <v>111.89</v>
      </c>
      <c r="J21" s="126">
        <v>0.03</v>
      </c>
      <c r="K21" s="126">
        <v>0.03</v>
      </c>
      <c r="L21" s="126">
        <v>11.39</v>
      </c>
      <c r="M21" s="126">
        <v>0.05</v>
      </c>
      <c r="N21" s="126">
        <v>9.9000000000000005E-2</v>
      </c>
      <c r="O21" s="126">
        <v>45.49</v>
      </c>
      <c r="P21" s="126">
        <v>29.96</v>
      </c>
      <c r="Q21" s="126">
        <v>1.44</v>
      </c>
      <c r="R21" s="127">
        <v>2E-3</v>
      </c>
      <c r="S21" s="126">
        <v>15.35</v>
      </c>
      <c r="T21" s="126">
        <v>0.49</v>
      </c>
      <c r="U21" s="10"/>
      <c r="V21" s="23"/>
      <c r="W21" s="23"/>
      <c r="X21" s="23"/>
    </row>
    <row r="22" spans="1:24" s="118" customFormat="1" ht="12.75" customHeight="1" x14ac:dyDescent="0.2">
      <c r="A22" s="198">
        <v>293</v>
      </c>
      <c r="B22" s="231" t="s">
        <v>102</v>
      </c>
      <c r="C22" s="232"/>
      <c r="D22" s="125">
        <v>120</v>
      </c>
      <c r="E22" s="126">
        <v>45.87</v>
      </c>
      <c r="F22" s="126">
        <v>33.090000000000003</v>
      </c>
      <c r="G22" s="126">
        <v>27.34</v>
      </c>
      <c r="H22" s="126">
        <v>8.82</v>
      </c>
      <c r="I22" s="126">
        <v>414.37</v>
      </c>
      <c r="J22" s="126">
        <v>0.09</v>
      </c>
      <c r="K22" s="126">
        <v>0</v>
      </c>
      <c r="L22" s="126">
        <v>4.4999999999999998E-2</v>
      </c>
      <c r="M22" s="125">
        <v>80.62</v>
      </c>
      <c r="N22" s="123">
        <v>0</v>
      </c>
      <c r="O22" s="124">
        <v>102.19</v>
      </c>
      <c r="P22" s="126">
        <v>249.19</v>
      </c>
      <c r="Q22" s="125">
        <v>0</v>
      </c>
      <c r="R22" s="125">
        <v>0</v>
      </c>
      <c r="S22" s="126">
        <v>38.07</v>
      </c>
      <c r="T22" s="126">
        <v>3.04</v>
      </c>
      <c r="U22" s="128"/>
      <c r="V22" s="129"/>
      <c r="W22" s="129"/>
      <c r="X22" s="129"/>
    </row>
    <row r="23" spans="1:24" s="118" customFormat="1" ht="24" customHeight="1" x14ac:dyDescent="0.2">
      <c r="A23" s="198">
        <v>203</v>
      </c>
      <c r="B23" s="231" t="s">
        <v>76</v>
      </c>
      <c r="C23" s="232"/>
      <c r="D23" s="125">
        <v>180</v>
      </c>
      <c r="E23" s="126">
        <v>8.3699999999999992</v>
      </c>
      <c r="F23" s="126">
        <f>5.7*D23/150</f>
        <v>6.84</v>
      </c>
      <c r="G23" s="126">
        <f>3.43*D23/150</f>
        <v>4.1159999999999997</v>
      </c>
      <c r="H23" s="126">
        <f>36.45*D23/150</f>
        <v>43.740000000000009</v>
      </c>
      <c r="I23" s="126">
        <f>F23*4+G23*9+H23*4</f>
        <v>239.36400000000003</v>
      </c>
      <c r="J23" s="126">
        <f>0.09*D23/150</f>
        <v>0.108</v>
      </c>
      <c r="K23" s="126">
        <f>0.03*D23/150</f>
        <v>3.5999999999999997E-2</v>
      </c>
      <c r="L23" s="126">
        <v>0</v>
      </c>
      <c r="M23" s="127">
        <f>0.03*D23/150</f>
        <v>3.5999999999999997E-2</v>
      </c>
      <c r="N23" s="126">
        <f>1.25*D23/150</f>
        <v>1.5</v>
      </c>
      <c r="O23" s="126">
        <f>13.28*D23/150</f>
        <v>15.936</v>
      </c>
      <c r="P23" s="126">
        <f>46.21*D23/150</f>
        <v>55.451999999999998</v>
      </c>
      <c r="Q23" s="126">
        <f>0.78*D23/150</f>
        <v>0.93600000000000005</v>
      </c>
      <c r="R23" s="127">
        <f>0.0015*D23/150</f>
        <v>1.8000000000000002E-3</v>
      </c>
      <c r="S23" s="126">
        <f>8.47*D23/150</f>
        <v>10.164000000000001</v>
      </c>
      <c r="T23" s="126">
        <f>0.86*D23/150</f>
        <v>1.032</v>
      </c>
      <c r="U23" s="128"/>
      <c r="V23" s="129"/>
      <c r="W23" s="129"/>
      <c r="X23" s="129"/>
    </row>
    <row r="24" spans="1:24" s="118" customFormat="1" ht="12" customHeight="1" x14ac:dyDescent="0.2">
      <c r="A24" s="111">
        <v>699</v>
      </c>
      <c r="B24" s="230" t="s">
        <v>97</v>
      </c>
      <c r="C24" s="230"/>
      <c r="D24" s="115">
        <v>200</v>
      </c>
      <c r="E24" s="106">
        <v>4.75</v>
      </c>
      <c r="F24" s="106">
        <v>0.1</v>
      </c>
      <c r="G24" s="106">
        <v>0</v>
      </c>
      <c r="H24" s="106">
        <v>15.7</v>
      </c>
      <c r="I24" s="106">
        <v>63.2</v>
      </c>
      <c r="J24" s="106">
        <v>1.7999999999999999E-2</v>
      </c>
      <c r="K24" s="106">
        <v>1.2E-2</v>
      </c>
      <c r="L24" s="106">
        <v>8</v>
      </c>
      <c r="M24" s="106">
        <v>0</v>
      </c>
      <c r="N24" s="106">
        <v>0.2</v>
      </c>
      <c r="O24" s="106">
        <v>10.8</v>
      </c>
      <c r="P24" s="106">
        <v>1.7</v>
      </c>
      <c r="Q24" s="106">
        <v>0</v>
      </c>
      <c r="R24" s="106">
        <v>0</v>
      </c>
      <c r="S24" s="106">
        <v>5.8</v>
      </c>
      <c r="T24" s="106">
        <v>1.6</v>
      </c>
      <c r="U24" s="128"/>
      <c r="V24" s="129"/>
      <c r="W24" s="129"/>
      <c r="X24" s="129"/>
    </row>
    <row r="25" spans="1:24" s="118" customFormat="1" ht="11.25" customHeight="1" x14ac:dyDescent="0.2">
      <c r="A25" s="67" t="s">
        <v>66</v>
      </c>
      <c r="B25" s="231" t="s">
        <v>46</v>
      </c>
      <c r="C25" s="232"/>
      <c r="D25" s="125">
        <v>40</v>
      </c>
      <c r="E25" s="126">
        <v>2.04</v>
      </c>
      <c r="F25" s="126">
        <f>2.64*D25/40</f>
        <v>2.64</v>
      </c>
      <c r="G25" s="126">
        <f>0.48*D25/40</f>
        <v>0.48</v>
      </c>
      <c r="H25" s="126">
        <f>13.68*D25/40</f>
        <v>13.680000000000001</v>
      </c>
      <c r="I25" s="124">
        <f>F25*4+G25*9+H25*4</f>
        <v>69.600000000000009</v>
      </c>
      <c r="J25" s="123">
        <f>0.08*D25/40</f>
        <v>0.08</v>
      </c>
      <c r="K25" s="126">
        <f>0.04*D25/40</f>
        <v>0.04</v>
      </c>
      <c r="L25" s="125">
        <v>0</v>
      </c>
      <c r="M25" s="125">
        <v>0</v>
      </c>
      <c r="N25" s="126">
        <f>2.4*D25/40</f>
        <v>2.4</v>
      </c>
      <c r="O25" s="126">
        <f>14*D25/40</f>
        <v>14</v>
      </c>
      <c r="P25" s="126">
        <f>63.2*D25/40</f>
        <v>63.2</v>
      </c>
      <c r="Q25" s="126">
        <f>1.2*D25/40</f>
        <v>1.2</v>
      </c>
      <c r="R25" s="127">
        <f>0.001*D25/40</f>
        <v>1E-3</v>
      </c>
      <c r="S25" s="126">
        <f>9.4*D25/40</f>
        <v>9.4</v>
      </c>
      <c r="T25" s="123">
        <f>0.78*D25/40</f>
        <v>0.78</v>
      </c>
      <c r="U25" s="29"/>
      <c r="V25" s="30"/>
      <c r="W25" s="30"/>
      <c r="X25" s="30"/>
    </row>
    <row r="26" spans="1:24" s="118" customFormat="1" ht="11.25" customHeight="1" x14ac:dyDescent="0.2">
      <c r="A26" s="131" t="s">
        <v>66</v>
      </c>
      <c r="B26" s="231" t="s">
        <v>53</v>
      </c>
      <c r="C26" s="232"/>
      <c r="D26" s="125">
        <v>40</v>
      </c>
      <c r="E26" s="126">
        <v>3.1</v>
      </c>
      <c r="F26" s="126">
        <f>1.52*D26/30</f>
        <v>2.0266666666666664</v>
      </c>
      <c r="G26" s="127">
        <f>0.16*D26/30</f>
        <v>0.21333333333333335</v>
      </c>
      <c r="H26" s="127">
        <f>9.84*D26/30</f>
        <v>13.120000000000001</v>
      </c>
      <c r="I26" s="127">
        <f>F26*4+G26*9+H26*4</f>
        <v>62.506666666666668</v>
      </c>
      <c r="J26" s="127">
        <f>0.02*D26/30</f>
        <v>2.6666666666666668E-2</v>
      </c>
      <c r="K26" s="127">
        <f>0.01*D26/30</f>
        <v>1.3333333333333334E-2</v>
      </c>
      <c r="L26" s="127">
        <f>0.44*D26/30</f>
        <v>0.58666666666666667</v>
      </c>
      <c r="M26" s="127">
        <v>0</v>
      </c>
      <c r="N26" s="127">
        <f>0.7*D26/30</f>
        <v>0.93333333333333335</v>
      </c>
      <c r="O26" s="127">
        <f>4*D26/30</f>
        <v>5.333333333333333</v>
      </c>
      <c r="P26" s="127">
        <f>13*D26/30</f>
        <v>17.333333333333332</v>
      </c>
      <c r="Q26" s="127">
        <f>0.008*D26/30</f>
        <v>1.0666666666666666E-2</v>
      </c>
      <c r="R26" s="127">
        <f>0.001*D26/30</f>
        <v>1.3333333333333333E-3</v>
      </c>
      <c r="S26" s="127">
        <v>0</v>
      </c>
      <c r="T26" s="127">
        <f>0.22*D26/30</f>
        <v>0.29333333333333333</v>
      </c>
      <c r="U26" s="128"/>
      <c r="V26" s="129"/>
      <c r="W26" s="129"/>
      <c r="X26" s="129"/>
    </row>
    <row r="27" spans="1:24" s="118" customFormat="1" ht="11.25" customHeight="1" x14ac:dyDescent="0.2">
      <c r="A27" s="58" t="s">
        <v>29</v>
      </c>
      <c r="B27" s="59"/>
      <c r="C27" s="59"/>
      <c r="D27" s="57">
        <f t="shared" ref="D27:T27" si="3">SUM(D20:D26)</f>
        <v>930</v>
      </c>
      <c r="E27" s="132">
        <f t="shared" si="3"/>
        <v>90</v>
      </c>
      <c r="F27" s="38">
        <f t="shared" si="3"/>
        <v>49.63666666666667</v>
      </c>
      <c r="G27" s="37">
        <f t="shared" si="3"/>
        <v>44.342666666666659</v>
      </c>
      <c r="H27" s="37">
        <f t="shared" si="3"/>
        <v>117.45000000000003</v>
      </c>
      <c r="I27" s="37">
        <f t="shared" si="3"/>
        <v>1068.1106666666669</v>
      </c>
      <c r="J27" s="37">
        <f t="shared" si="3"/>
        <v>0.41933333333333334</v>
      </c>
      <c r="K27" s="37">
        <f t="shared" si="3"/>
        <v>0.18133333333333335</v>
      </c>
      <c r="L27" s="37">
        <f t="shared" si="3"/>
        <v>34.355000000000004</v>
      </c>
      <c r="M27" s="37">
        <f t="shared" si="3"/>
        <v>81.939333333333337</v>
      </c>
      <c r="N27" s="37">
        <f t="shared" si="3"/>
        <v>5.4656666666666673</v>
      </c>
      <c r="O27" s="37">
        <f t="shared" si="3"/>
        <v>232.73266666666669</v>
      </c>
      <c r="P27" s="37">
        <f t="shared" si="3"/>
        <v>473.56866666666662</v>
      </c>
      <c r="Q27" s="37">
        <f t="shared" si="3"/>
        <v>3.6033333333333331</v>
      </c>
      <c r="R27" s="37">
        <f t="shared" si="3"/>
        <v>7.2800000000000004E-2</v>
      </c>
      <c r="S27" s="37">
        <f t="shared" si="3"/>
        <v>104.80066666666667</v>
      </c>
      <c r="T27" s="37">
        <f t="shared" si="3"/>
        <v>8.4019999999999992</v>
      </c>
      <c r="U27" s="37"/>
      <c r="V27" s="120"/>
      <c r="W27" s="120"/>
      <c r="X27" s="120"/>
    </row>
    <row r="28" spans="1:24" s="118" customFormat="1" ht="11.25" customHeight="1" x14ac:dyDescent="0.2">
      <c r="A28" s="220" t="s">
        <v>62</v>
      </c>
      <c r="B28" s="221"/>
      <c r="C28" s="221"/>
      <c r="D28" s="222"/>
      <c r="E28" s="187"/>
      <c r="F28" s="133">
        <f t="shared" ref="F28:T28" si="4">F27/F36</f>
        <v>0.55151851851851852</v>
      </c>
      <c r="G28" s="42">
        <f t="shared" si="4"/>
        <v>0.48198550724637673</v>
      </c>
      <c r="H28" s="42">
        <f t="shared" si="4"/>
        <v>0.30665796344647528</v>
      </c>
      <c r="I28" s="42">
        <f t="shared" si="4"/>
        <v>0.39268774509803933</v>
      </c>
      <c r="J28" s="42">
        <f t="shared" si="4"/>
        <v>0.29952380952380953</v>
      </c>
      <c r="K28" s="42">
        <f t="shared" si="4"/>
        <v>0.11333333333333334</v>
      </c>
      <c r="L28" s="42">
        <f t="shared" si="4"/>
        <v>0.49078571428571433</v>
      </c>
      <c r="M28" s="42">
        <f t="shared" si="4"/>
        <v>91.043703703703713</v>
      </c>
      <c r="N28" s="42">
        <f t="shared" si="4"/>
        <v>0.45547222222222228</v>
      </c>
      <c r="O28" s="42">
        <f t="shared" si="4"/>
        <v>0.19394388888888892</v>
      </c>
      <c r="P28" s="42">
        <f t="shared" si="4"/>
        <v>0.39464055555555549</v>
      </c>
      <c r="Q28" s="42">
        <f t="shared" si="4"/>
        <v>0.25738095238095238</v>
      </c>
      <c r="R28" s="42">
        <f t="shared" si="4"/>
        <v>0.72799999999999998</v>
      </c>
      <c r="S28" s="42">
        <f t="shared" si="4"/>
        <v>0.34933555555555557</v>
      </c>
      <c r="T28" s="42">
        <f t="shared" si="4"/>
        <v>0.46677777777777774</v>
      </c>
      <c r="U28" s="122"/>
      <c r="V28" s="120"/>
      <c r="W28" s="120"/>
      <c r="X28" s="120"/>
    </row>
    <row r="29" spans="1:24" s="118" customFormat="1" ht="11.25" hidden="1" customHeight="1" x14ac:dyDescent="0.2">
      <c r="A29" s="186"/>
      <c r="B29" s="187"/>
      <c r="C29" s="187"/>
      <c r="D29" s="187"/>
      <c r="E29" s="146">
        <f>90-E27</f>
        <v>0</v>
      </c>
      <c r="F29" s="13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4"/>
      <c r="U29" s="122"/>
      <c r="V29" s="120"/>
      <c r="W29" s="120"/>
      <c r="X29" s="120"/>
    </row>
    <row r="30" spans="1:24" s="118" customFormat="1" ht="11.25" customHeight="1" x14ac:dyDescent="0.2">
      <c r="A30" s="227" t="s">
        <v>30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9"/>
      <c r="U30" s="10"/>
      <c r="V30" s="23"/>
      <c r="W30" s="23"/>
      <c r="X30" s="23"/>
    </row>
    <row r="31" spans="1:24" s="107" customFormat="1" ht="11.25" customHeight="1" x14ac:dyDescent="0.2">
      <c r="A31" s="113"/>
      <c r="B31" s="238"/>
      <c r="C31" s="238"/>
      <c r="D31" s="109"/>
      <c r="E31" s="108"/>
      <c r="F31" s="108"/>
      <c r="G31" s="170"/>
      <c r="H31" s="170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</row>
    <row r="32" spans="1:24" s="118" customFormat="1" ht="12.75" customHeight="1" x14ac:dyDescent="0.2">
      <c r="A32" s="198"/>
      <c r="B32" s="219"/>
      <c r="C32" s="219"/>
      <c r="D32" s="125"/>
      <c r="E32" s="126"/>
      <c r="F32" s="126"/>
      <c r="G32" s="126"/>
      <c r="H32" s="126"/>
      <c r="I32" s="126"/>
      <c r="J32" s="126"/>
      <c r="K32" s="126"/>
      <c r="L32" s="126"/>
      <c r="M32" s="123"/>
      <c r="N32" s="126"/>
      <c r="O32" s="126"/>
      <c r="P32" s="126"/>
      <c r="Q32" s="126"/>
      <c r="R32" s="127"/>
      <c r="S32" s="126"/>
      <c r="T32" s="126"/>
      <c r="U32" s="128"/>
      <c r="V32" s="129"/>
      <c r="W32" s="129"/>
      <c r="X32" s="129"/>
    </row>
    <row r="33" spans="1:24" s="1" customFormat="1" ht="11.25" customHeight="1" x14ac:dyDescent="0.2">
      <c r="A33" s="58" t="s">
        <v>31</v>
      </c>
      <c r="B33" s="59"/>
      <c r="C33" s="59"/>
      <c r="D33" s="62">
        <f t="shared" ref="D33:I33" si="5">SUM(D31:D32)</f>
        <v>0</v>
      </c>
      <c r="E33" s="132">
        <f t="shared" si="5"/>
        <v>0</v>
      </c>
      <c r="F33" s="38">
        <f t="shared" si="5"/>
        <v>0</v>
      </c>
      <c r="G33" s="37">
        <f t="shared" si="5"/>
        <v>0</v>
      </c>
      <c r="H33" s="37">
        <f t="shared" si="5"/>
        <v>0</v>
      </c>
      <c r="I33" s="37">
        <f t="shared" si="5"/>
        <v>0</v>
      </c>
      <c r="J33" s="38">
        <f t="shared" ref="J33:T33" si="6">SUM(J31:J32)</f>
        <v>0</v>
      </c>
      <c r="K33" s="38">
        <f t="shared" si="6"/>
        <v>0</v>
      </c>
      <c r="L33" s="46">
        <f t="shared" si="6"/>
        <v>0</v>
      </c>
      <c r="M33" s="37">
        <f t="shared" si="6"/>
        <v>0</v>
      </c>
      <c r="N33" s="37">
        <f t="shared" si="6"/>
        <v>0</v>
      </c>
      <c r="O33" s="37">
        <f t="shared" si="6"/>
        <v>0</v>
      </c>
      <c r="P33" s="37">
        <f t="shared" si="6"/>
        <v>0</v>
      </c>
      <c r="Q33" s="37">
        <f t="shared" si="6"/>
        <v>0</v>
      </c>
      <c r="R33" s="38">
        <f t="shared" si="6"/>
        <v>0</v>
      </c>
      <c r="S33" s="37">
        <f t="shared" si="6"/>
        <v>0</v>
      </c>
      <c r="T33" s="38">
        <f t="shared" si="6"/>
        <v>0</v>
      </c>
      <c r="U33" s="37"/>
      <c r="V33" s="120"/>
      <c r="W33" s="120"/>
      <c r="X33" s="120"/>
    </row>
    <row r="34" spans="1:24" s="1" customFormat="1" ht="11.25" customHeight="1" x14ac:dyDescent="0.2">
      <c r="A34" s="220" t="s">
        <v>62</v>
      </c>
      <c r="B34" s="221"/>
      <c r="C34" s="221"/>
      <c r="D34" s="222"/>
      <c r="E34" s="188"/>
      <c r="F34" s="66">
        <f>F33/F36</f>
        <v>0</v>
      </c>
      <c r="G34" s="42">
        <f t="shared" ref="G34:T34" si="7">G33/G36</f>
        <v>0</v>
      </c>
      <c r="H34" s="42">
        <f t="shared" si="7"/>
        <v>0</v>
      </c>
      <c r="I34" s="42">
        <f t="shared" si="7"/>
        <v>0</v>
      </c>
      <c r="J34" s="42">
        <f t="shared" si="7"/>
        <v>0</v>
      </c>
      <c r="K34" s="42">
        <f t="shared" si="7"/>
        <v>0</v>
      </c>
      <c r="L34" s="42">
        <f t="shared" si="7"/>
        <v>0</v>
      </c>
      <c r="M34" s="42">
        <f t="shared" si="7"/>
        <v>0</v>
      </c>
      <c r="N34" s="42">
        <f t="shared" si="7"/>
        <v>0</v>
      </c>
      <c r="O34" s="42">
        <f t="shared" si="7"/>
        <v>0</v>
      </c>
      <c r="P34" s="42">
        <f t="shared" si="7"/>
        <v>0</v>
      </c>
      <c r="Q34" s="42">
        <f t="shared" si="7"/>
        <v>0</v>
      </c>
      <c r="R34" s="42">
        <f t="shared" si="7"/>
        <v>0</v>
      </c>
      <c r="S34" s="42">
        <f t="shared" si="7"/>
        <v>0</v>
      </c>
      <c r="T34" s="42">
        <f t="shared" si="7"/>
        <v>0</v>
      </c>
      <c r="U34" s="122"/>
      <c r="V34" s="120"/>
      <c r="W34" s="120"/>
      <c r="X34" s="120"/>
    </row>
    <row r="35" spans="1:24" s="1" customFormat="1" ht="11.25" customHeight="1" x14ac:dyDescent="0.2">
      <c r="A35" s="235" t="s">
        <v>61</v>
      </c>
      <c r="B35" s="236"/>
      <c r="C35" s="236"/>
      <c r="D35" s="237"/>
      <c r="E35" s="193"/>
      <c r="F35" s="38">
        <f t="shared" ref="F35:T35" si="8">SUM(F17,F27,F33)</f>
        <v>77.623333333333335</v>
      </c>
      <c r="G35" s="37">
        <f t="shared" si="8"/>
        <v>73.445999999999998</v>
      </c>
      <c r="H35" s="37">
        <f t="shared" si="8"/>
        <v>195.27200000000005</v>
      </c>
      <c r="I35" s="37">
        <f t="shared" si="8"/>
        <v>1753.3473333333336</v>
      </c>
      <c r="J35" s="38">
        <f t="shared" si="8"/>
        <v>1.323</v>
      </c>
      <c r="K35" s="38">
        <f t="shared" si="8"/>
        <v>1.1666666666666667</v>
      </c>
      <c r="L35" s="37">
        <f t="shared" si="8"/>
        <v>50.26466666666667</v>
      </c>
      <c r="M35" s="38">
        <f t="shared" si="8"/>
        <v>82.789333333333332</v>
      </c>
      <c r="N35" s="38">
        <f t="shared" si="8"/>
        <v>8.3390000000000004</v>
      </c>
      <c r="O35" s="37">
        <f t="shared" si="8"/>
        <v>427.15600000000006</v>
      </c>
      <c r="P35" s="37">
        <f t="shared" si="8"/>
        <v>912.91199999999992</v>
      </c>
      <c r="Q35" s="38">
        <f t="shared" si="8"/>
        <v>4.9939999999999998</v>
      </c>
      <c r="R35" s="39">
        <f t="shared" si="8"/>
        <v>8.9133333333333342E-2</v>
      </c>
      <c r="S35" s="38">
        <f t="shared" si="8"/>
        <v>193.39066666666668</v>
      </c>
      <c r="T35" s="38">
        <f t="shared" si="8"/>
        <v>11.985333333333333</v>
      </c>
      <c r="U35" s="40"/>
      <c r="V35" s="120"/>
      <c r="W35" s="120"/>
      <c r="X35" s="120"/>
    </row>
    <row r="36" spans="1:24" s="1" customFormat="1" ht="11.25" customHeight="1" x14ac:dyDescent="0.2">
      <c r="A36" s="235" t="s">
        <v>63</v>
      </c>
      <c r="B36" s="236"/>
      <c r="C36" s="236"/>
      <c r="D36" s="237"/>
      <c r="E36" s="193"/>
      <c r="F36" s="126">
        <v>90</v>
      </c>
      <c r="G36" s="124">
        <v>92</v>
      </c>
      <c r="H36" s="124">
        <v>383</v>
      </c>
      <c r="I36" s="124">
        <v>2720</v>
      </c>
      <c r="J36" s="126">
        <v>1.4</v>
      </c>
      <c r="K36" s="126">
        <v>1.6</v>
      </c>
      <c r="L36" s="125">
        <v>70</v>
      </c>
      <c r="M36" s="126">
        <v>0.9</v>
      </c>
      <c r="N36" s="125">
        <v>12</v>
      </c>
      <c r="O36" s="125">
        <v>1200</v>
      </c>
      <c r="P36" s="125">
        <v>1200</v>
      </c>
      <c r="Q36" s="125">
        <v>14</v>
      </c>
      <c r="R36" s="124">
        <v>0.1</v>
      </c>
      <c r="S36" s="125">
        <v>300</v>
      </c>
      <c r="T36" s="126">
        <v>18</v>
      </c>
      <c r="U36" s="128"/>
      <c r="V36" s="129"/>
      <c r="W36" s="129"/>
      <c r="X36" s="129"/>
    </row>
    <row r="37" spans="1:24" s="1" customFormat="1" ht="11.25" customHeight="1" x14ac:dyDescent="0.2">
      <c r="A37" s="220" t="s">
        <v>62</v>
      </c>
      <c r="B37" s="221"/>
      <c r="C37" s="221"/>
      <c r="D37" s="222"/>
      <c r="E37" s="188"/>
      <c r="F37" s="66">
        <f t="shared" ref="F37:T37" si="9">F35/F36</f>
        <v>0.86248148148148152</v>
      </c>
      <c r="G37" s="42">
        <f t="shared" si="9"/>
        <v>0.79832608695652174</v>
      </c>
      <c r="H37" s="42">
        <f t="shared" si="9"/>
        <v>0.50984856396866851</v>
      </c>
      <c r="I37" s="42">
        <f t="shared" si="9"/>
        <v>0.64461299019607854</v>
      </c>
      <c r="J37" s="42">
        <f t="shared" si="9"/>
        <v>0.94500000000000006</v>
      </c>
      <c r="K37" s="42">
        <f t="shared" si="9"/>
        <v>0.72916666666666663</v>
      </c>
      <c r="L37" s="42">
        <f t="shared" si="9"/>
        <v>0.71806666666666674</v>
      </c>
      <c r="M37" s="43">
        <f t="shared" si="9"/>
        <v>91.988148148148142</v>
      </c>
      <c r="N37" s="42">
        <f t="shared" si="9"/>
        <v>0.69491666666666674</v>
      </c>
      <c r="O37" s="42">
        <f t="shared" si="9"/>
        <v>0.35596333333333341</v>
      </c>
      <c r="P37" s="42">
        <f t="shared" si="9"/>
        <v>0.76075999999999988</v>
      </c>
      <c r="Q37" s="42">
        <f t="shared" si="9"/>
        <v>0.35671428571428571</v>
      </c>
      <c r="R37" s="43">
        <f t="shared" si="9"/>
        <v>0.89133333333333342</v>
      </c>
      <c r="S37" s="42">
        <f t="shared" si="9"/>
        <v>0.64463555555555563</v>
      </c>
      <c r="T37" s="43">
        <f t="shared" si="9"/>
        <v>0.66585185185185181</v>
      </c>
      <c r="U37" s="44"/>
      <c r="V37" s="45"/>
      <c r="W37" s="45"/>
      <c r="X37" s="45"/>
    </row>
    <row r="38" spans="1:24" s="1" customFormat="1" ht="11.25" customHeight="1" x14ac:dyDescent="0.2">
      <c r="A38" s="51"/>
      <c r="B38" s="51"/>
      <c r="C38" s="185"/>
      <c r="D38" s="185"/>
      <c r="E38" s="185"/>
      <c r="F38" s="91"/>
      <c r="G38" s="118"/>
      <c r="H38" s="2"/>
      <c r="I38" s="2"/>
      <c r="J38" s="118"/>
      <c r="K38" s="118"/>
      <c r="L38" s="118"/>
      <c r="M38" s="206" t="s">
        <v>65</v>
      </c>
      <c r="N38" s="206"/>
      <c r="O38" s="206"/>
      <c r="P38" s="206"/>
      <c r="Q38" s="206"/>
      <c r="R38" s="206"/>
      <c r="S38" s="206"/>
      <c r="T38" s="206"/>
      <c r="U38" s="11"/>
      <c r="V38" s="18"/>
      <c r="W38" s="18"/>
      <c r="X38" s="18"/>
    </row>
    <row r="39" spans="1:24" s="1" customFormat="1" ht="11.25" customHeight="1" x14ac:dyDescent="0.2">
      <c r="A39" s="51"/>
      <c r="B39" s="51"/>
      <c r="C39" s="185"/>
      <c r="D39" s="185"/>
      <c r="E39" s="185"/>
      <c r="F39" s="91"/>
      <c r="G39" s="118"/>
      <c r="H39" s="2"/>
      <c r="I39" s="2"/>
      <c r="J39" s="118"/>
      <c r="K39" s="118"/>
      <c r="L39" s="118"/>
      <c r="M39" s="184"/>
      <c r="N39" s="184"/>
      <c r="O39" s="184"/>
      <c r="P39" s="184"/>
      <c r="Q39" s="184"/>
      <c r="R39" s="184"/>
      <c r="S39" s="184"/>
      <c r="T39" s="184"/>
      <c r="U39" s="11"/>
      <c r="V39" s="18"/>
      <c r="W39" s="18"/>
      <c r="X39" s="18"/>
    </row>
    <row r="40" spans="1:24" ht="11.25" customHeight="1" x14ac:dyDescent="0.2">
      <c r="A40" s="51"/>
      <c r="B40" s="51"/>
      <c r="C40" s="51"/>
      <c r="D40" s="118"/>
      <c r="E40" s="118"/>
      <c r="F40" s="119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3"/>
      <c r="V40" s="19"/>
      <c r="W40" s="19"/>
      <c r="X40" s="19"/>
    </row>
    <row r="41" spans="1:24" ht="29.25" customHeight="1" x14ac:dyDescent="0.2">
      <c r="A41" s="254" t="s">
        <v>67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13"/>
      <c r="V41" s="19"/>
      <c r="W41" s="19"/>
      <c r="X41" s="19"/>
    </row>
    <row r="42" spans="1:24" ht="29.25" customHeight="1" x14ac:dyDescent="0.2">
      <c r="A42" s="52"/>
      <c r="B42" s="52"/>
      <c r="C42" s="52"/>
      <c r="D42" s="3"/>
      <c r="E42" s="3"/>
      <c r="F42" s="92"/>
      <c r="G42" s="3"/>
      <c r="H42" s="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6"/>
      <c r="V42" s="19"/>
      <c r="W42" s="19"/>
      <c r="X42" s="19"/>
    </row>
    <row r="43" spans="1:24" s="84" customFormat="1" ht="13.5" customHeight="1" x14ac:dyDescent="0.2">
      <c r="A43" s="85"/>
      <c r="B43" s="85"/>
      <c r="C43" s="85"/>
      <c r="D43" s="85"/>
      <c r="E43" s="85"/>
      <c r="F43" s="93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6"/>
      <c r="W43" s="83"/>
      <c r="X43" s="83"/>
    </row>
  </sheetData>
  <autoFilter ref="B1:B43"/>
  <mergeCells count="50">
    <mergeCell ref="N5:T5"/>
    <mergeCell ref="M1:T1"/>
    <mergeCell ref="U1:U5"/>
    <mergeCell ref="V1:V5"/>
    <mergeCell ref="X1:X5"/>
    <mergeCell ref="A2:T2"/>
    <mergeCell ref="G4:I4"/>
    <mergeCell ref="L4:M4"/>
    <mergeCell ref="N4:Q4"/>
    <mergeCell ref="D5:F5"/>
    <mergeCell ref="L5:M5"/>
    <mergeCell ref="A6:T6"/>
    <mergeCell ref="G7:I7"/>
    <mergeCell ref="L7:M7"/>
    <mergeCell ref="N7:Q7"/>
    <mergeCell ref="D8:F8"/>
    <mergeCell ref="L8:M8"/>
    <mergeCell ref="N8:T8"/>
    <mergeCell ref="B15:C15"/>
    <mergeCell ref="A9:A10"/>
    <mergeCell ref="B9:C10"/>
    <mergeCell ref="D9:D10"/>
    <mergeCell ref="F9:H9"/>
    <mergeCell ref="O9:T9"/>
    <mergeCell ref="B11:C11"/>
    <mergeCell ref="A12:T12"/>
    <mergeCell ref="B13:C13"/>
    <mergeCell ref="B14:C14"/>
    <mergeCell ref="I9:I10"/>
    <mergeCell ref="J9:N9"/>
    <mergeCell ref="A30:T30"/>
    <mergeCell ref="B16:C16"/>
    <mergeCell ref="A18:D18"/>
    <mergeCell ref="A19:T19"/>
    <mergeCell ref="B20:C20"/>
    <mergeCell ref="B21:C21"/>
    <mergeCell ref="B22:C22"/>
    <mergeCell ref="B23:C23"/>
    <mergeCell ref="B24:C24"/>
    <mergeCell ref="B25:C25"/>
    <mergeCell ref="B26:C26"/>
    <mergeCell ref="A28:D28"/>
    <mergeCell ref="M38:T38"/>
    <mergeCell ref="A41:T41"/>
    <mergeCell ref="B31:C31"/>
    <mergeCell ref="B32:C32"/>
    <mergeCell ref="A34:D34"/>
    <mergeCell ref="A35:D35"/>
    <mergeCell ref="A36:D36"/>
    <mergeCell ref="A37:D37"/>
  </mergeCells>
  <pageMargins left="0.7" right="0.7" top="0.75" bottom="0.75" header="0.3" footer="0.3"/>
  <pageSetup paperSize="9" scale="79" orientation="landscape" r:id="rId1"/>
  <rowBreaks count="2" manualBreakCount="2">
    <brk id="5" max="19" man="1"/>
    <brk id="37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T47"/>
  <sheetViews>
    <sheetView view="pageBreakPreview" topLeftCell="A10" zoomScale="80" zoomScaleNormal="80" zoomScaleSheetLayoutView="80" workbookViewId="0">
      <selection activeCell="U1" sqref="U1:X65536"/>
    </sheetView>
  </sheetViews>
  <sheetFormatPr defaultRowHeight="11.25" x14ac:dyDescent="0.2"/>
  <cols>
    <col min="1" max="1" width="9.5" style="53" customWidth="1"/>
    <col min="2" max="2" width="16.33203125" style="53" customWidth="1"/>
    <col min="3" max="3" width="25.1640625" style="53" customWidth="1"/>
    <col min="4" max="4" width="8" style="4" customWidth="1"/>
    <col min="5" max="5" width="9.6640625" style="4" customWidth="1"/>
    <col min="6" max="6" width="9.83203125" style="94" customWidth="1"/>
    <col min="7" max="7" width="9.6640625" style="4" customWidth="1"/>
    <col min="8" max="8" width="8.5" style="4" customWidth="1"/>
    <col min="9" max="9" width="10" style="4" customWidth="1"/>
    <col min="10" max="10" width="9" style="4" customWidth="1"/>
    <col min="11" max="11" width="9.83203125" style="4" customWidth="1"/>
    <col min="12" max="12" width="8.83203125" style="4" customWidth="1"/>
    <col min="13" max="13" width="10.33203125" style="4" customWidth="1"/>
    <col min="14" max="14" width="9.5" style="4" customWidth="1"/>
    <col min="15" max="15" width="9.33203125" style="4" customWidth="1"/>
    <col min="16" max="17" width="9.1640625" style="4" customWidth="1"/>
    <col min="18" max="18" width="9" style="4" customWidth="1"/>
    <col min="19" max="19" width="9.5" style="4" customWidth="1"/>
    <col min="20" max="20" width="8.6640625" style="4" customWidth="1"/>
  </cols>
  <sheetData>
    <row r="1" spans="1:20" s="1" customFormat="1" ht="11.25" customHeight="1" x14ac:dyDescent="0.2">
      <c r="A1" s="54"/>
      <c r="B1" s="51"/>
      <c r="C1" s="51"/>
      <c r="D1" s="118"/>
      <c r="E1" s="118"/>
      <c r="F1" s="119"/>
      <c r="G1" s="118"/>
      <c r="H1" s="118"/>
      <c r="I1" s="118"/>
      <c r="J1" s="118"/>
      <c r="K1" s="118"/>
      <c r="L1" s="2"/>
      <c r="M1" s="206" t="s">
        <v>65</v>
      </c>
      <c r="N1" s="206"/>
      <c r="O1" s="206"/>
      <c r="P1" s="206"/>
      <c r="Q1" s="206"/>
      <c r="R1" s="206"/>
      <c r="S1" s="206"/>
      <c r="T1" s="206"/>
    </row>
    <row r="2" spans="1:20" s="1" customFormat="1" ht="15.75" customHeight="1" x14ac:dyDescent="0.25">
      <c r="A2" s="207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0" s="1" customFormat="1" ht="15.75" customHeight="1" x14ac:dyDescent="0.25">
      <c r="A3" s="195"/>
      <c r="B3" s="195"/>
      <c r="C3" s="195"/>
      <c r="D3" s="195"/>
      <c r="E3" s="195"/>
      <c r="F3" s="195"/>
      <c r="G3" s="195"/>
      <c r="H3" s="195" t="s">
        <v>119</v>
      </c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0" s="1" customFormat="1" ht="11.25" customHeight="1" x14ac:dyDescent="0.2">
      <c r="A4" s="55" t="s">
        <v>55</v>
      </c>
      <c r="B4" s="51"/>
      <c r="C4" s="51"/>
      <c r="D4" s="2"/>
      <c r="E4" s="2"/>
      <c r="F4" s="119"/>
      <c r="G4" s="208" t="s">
        <v>1</v>
      </c>
      <c r="H4" s="208"/>
      <c r="I4" s="208"/>
      <c r="J4" s="118"/>
      <c r="K4" s="118"/>
      <c r="L4" s="201" t="s">
        <v>2</v>
      </c>
      <c r="M4" s="201"/>
      <c r="N4" s="240"/>
      <c r="O4" s="240"/>
      <c r="P4" s="240"/>
      <c r="Q4" s="240"/>
      <c r="R4" s="118"/>
      <c r="S4" s="118"/>
      <c r="T4" s="118"/>
    </row>
    <row r="5" spans="1:20" s="1" customFormat="1" ht="11.25" customHeight="1" x14ac:dyDescent="0.2">
      <c r="A5" s="51"/>
      <c r="B5" s="51"/>
      <c r="C5" s="51"/>
      <c r="D5" s="201" t="s">
        <v>3</v>
      </c>
      <c r="E5" s="201"/>
      <c r="F5" s="201"/>
      <c r="G5" s="6">
        <v>1</v>
      </c>
      <c r="H5" s="118"/>
      <c r="I5" s="2"/>
      <c r="J5" s="2"/>
      <c r="K5" s="2"/>
      <c r="L5" s="201" t="s">
        <v>4</v>
      </c>
      <c r="M5" s="201"/>
      <c r="N5" s="208" t="s">
        <v>118</v>
      </c>
      <c r="O5" s="208"/>
      <c r="P5" s="208"/>
      <c r="Q5" s="208"/>
      <c r="R5" s="208"/>
      <c r="S5" s="208"/>
      <c r="T5" s="208"/>
    </row>
    <row r="6" spans="1:20" s="1" customFormat="1" ht="11.25" customHeight="1" x14ac:dyDescent="0.2">
      <c r="A6" s="51" t="s">
        <v>83</v>
      </c>
      <c r="B6" s="51"/>
      <c r="C6" s="185"/>
      <c r="D6" s="185"/>
      <c r="E6" s="185"/>
      <c r="F6" s="91"/>
      <c r="G6" s="118"/>
      <c r="H6" s="2"/>
      <c r="I6" s="2"/>
      <c r="J6" s="118"/>
      <c r="K6" s="118"/>
      <c r="L6" s="118"/>
      <c r="M6" s="206" t="s">
        <v>65</v>
      </c>
      <c r="N6" s="206"/>
      <c r="O6" s="206"/>
      <c r="P6" s="206"/>
      <c r="Q6" s="206"/>
      <c r="R6" s="206"/>
      <c r="S6" s="206"/>
      <c r="T6" s="206"/>
    </row>
    <row r="7" spans="1:20" s="1" customFormat="1" ht="11.25" customHeight="1" x14ac:dyDescent="0.2">
      <c r="A7" s="51"/>
      <c r="B7" s="51"/>
      <c r="C7" s="185"/>
      <c r="D7" s="185"/>
      <c r="E7" s="185"/>
      <c r="F7" s="91"/>
      <c r="G7" s="118"/>
      <c r="H7" s="2"/>
      <c r="I7" s="2"/>
      <c r="J7" s="118"/>
      <c r="K7" s="118"/>
      <c r="L7" s="118"/>
      <c r="M7" s="184"/>
      <c r="N7" s="184"/>
      <c r="O7" s="184"/>
      <c r="P7" s="184"/>
      <c r="Q7" s="184"/>
      <c r="R7" s="184"/>
      <c r="S7" s="184"/>
      <c r="T7" s="184"/>
    </row>
    <row r="8" spans="1:20" s="1" customFormat="1" ht="11.25" customHeight="1" x14ac:dyDescent="0.2">
      <c r="A8" s="249" t="s">
        <v>43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s="1" customFormat="1" ht="11.25" customHeight="1" x14ac:dyDescent="0.2">
      <c r="A9" s="55" t="s">
        <v>55</v>
      </c>
      <c r="B9" s="51"/>
      <c r="C9" s="51"/>
      <c r="D9" s="2"/>
      <c r="E9" s="2"/>
      <c r="F9" s="119"/>
      <c r="G9" s="208" t="s">
        <v>37</v>
      </c>
      <c r="H9" s="208"/>
      <c r="I9" s="208"/>
      <c r="J9" s="118"/>
      <c r="K9" s="118"/>
      <c r="L9" s="201" t="s">
        <v>2</v>
      </c>
      <c r="M9" s="201"/>
      <c r="N9" s="240"/>
      <c r="O9" s="240"/>
      <c r="P9" s="240"/>
      <c r="Q9" s="240"/>
      <c r="R9" s="118"/>
      <c r="S9" s="118"/>
      <c r="T9" s="118"/>
    </row>
    <row r="10" spans="1:20" s="1" customFormat="1" ht="11.25" customHeight="1" x14ac:dyDescent="0.2">
      <c r="A10" s="51"/>
      <c r="B10" s="51"/>
      <c r="C10" s="51"/>
      <c r="D10" s="253" t="s">
        <v>3</v>
      </c>
      <c r="E10" s="253"/>
      <c r="F10" s="253"/>
      <c r="G10" s="6">
        <v>2</v>
      </c>
      <c r="H10" s="118"/>
      <c r="I10" s="2"/>
      <c r="J10" s="2"/>
      <c r="K10" s="2"/>
      <c r="L10" s="253" t="s">
        <v>4</v>
      </c>
      <c r="M10" s="253"/>
      <c r="N10" s="208" t="s">
        <v>118</v>
      </c>
      <c r="O10" s="208"/>
      <c r="P10" s="208"/>
      <c r="Q10" s="208"/>
      <c r="R10" s="208"/>
      <c r="S10" s="208"/>
      <c r="T10" s="208"/>
    </row>
    <row r="11" spans="1:20" s="118" customFormat="1" ht="21.75" customHeight="1" x14ac:dyDescent="0.2">
      <c r="A11" s="217" t="s">
        <v>5</v>
      </c>
      <c r="B11" s="209" t="s">
        <v>6</v>
      </c>
      <c r="C11" s="210"/>
      <c r="D11" s="217" t="s">
        <v>7</v>
      </c>
      <c r="E11" s="196"/>
      <c r="F11" s="203" t="s">
        <v>8</v>
      </c>
      <c r="G11" s="204"/>
      <c r="H11" s="205"/>
      <c r="I11" s="217" t="s">
        <v>9</v>
      </c>
      <c r="J11" s="203" t="s">
        <v>10</v>
      </c>
      <c r="K11" s="204"/>
      <c r="L11" s="204"/>
      <c r="M11" s="204"/>
      <c r="N11" s="205"/>
      <c r="O11" s="203" t="s">
        <v>11</v>
      </c>
      <c r="P11" s="204"/>
      <c r="Q11" s="204"/>
      <c r="R11" s="204"/>
      <c r="S11" s="204"/>
      <c r="T11" s="205"/>
    </row>
    <row r="12" spans="1:20" s="118" customFormat="1" ht="21" customHeight="1" x14ac:dyDescent="0.2">
      <c r="A12" s="218"/>
      <c r="B12" s="211"/>
      <c r="C12" s="212"/>
      <c r="D12" s="218"/>
      <c r="E12" s="190">
        <v>9</v>
      </c>
      <c r="F12" s="89" t="s">
        <v>12</v>
      </c>
      <c r="G12" s="197" t="s">
        <v>13</v>
      </c>
      <c r="H12" s="197" t="s">
        <v>14</v>
      </c>
      <c r="I12" s="218"/>
      <c r="J12" s="197" t="s">
        <v>15</v>
      </c>
      <c r="K12" s="197" t="s">
        <v>57</v>
      </c>
      <c r="L12" s="197" t="s">
        <v>16</v>
      </c>
      <c r="M12" s="197" t="s">
        <v>17</v>
      </c>
      <c r="N12" s="197" t="s">
        <v>18</v>
      </c>
      <c r="O12" s="197" t="s">
        <v>19</v>
      </c>
      <c r="P12" s="197" t="s">
        <v>20</v>
      </c>
      <c r="Q12" s="197" t="s">
        <v>58</v>
      </c>
      <c r="R12" s="197" t="s">
        <v>59</v>
      </c>
      <c r="S12" s="197" t="s">
        <v>21</v>
      </c>
      <c r="T12" s="197" t="s">
        <v>22</v>
      </c>
    </row>
    <row r="13" spans="1:20" s="118" customFormat="1" ht="11.25" customHeight="1" x14ac:dyDescent="0.2">
      <c r="A13" s="198">
        <v>1</v>
      </c>
      <c r="B13" s="233">
        <v>2</v>
      </c>
      <c r="C13" s="234"/>
      <c r="D13" s="36">
        <v>3</v>
      </c>
      <c r="E13" s="36"/>
      <c r="F13" s="90">
        <v>4</v>
      </c>
      <c r="G13" s="36">
        <v>5</v>
      </c>
      <c r="H13" s="36">
        <v>6</v>
      </c>
      <c r="I13" s="36">
        <v>7</v>
      </c>
      <c r="J13" s="36">
        <v>8</v>
      </c>
      <c r="K13" s="36">
        <v>9</v>
      </c>
      <c r="L13" s="36">
        <v>10</v>
      </c>
      <c r="M13" s="36">
        <v>11</v>
      </c>
      <c r="N13" s="36">
        <v>12</v>
      </c>
      <c r="O13" s="36">
        <v>13</v>
      </c>
      <c r="P13" s="36">
        <v>14</v>
      </c>
      <c r="Q13" s="36">
        <v>15</v>
      </c>
      <c r="R13" s="36">
        <v>16</v>
      </c>
      <c r="S13" s="36">
        <v>17</v>
      </c>
      <c r="T13" s="36">
        <v>18</v>
      </c>
    </row>
    <row r="14" spans="1:20" s="118" customFormat="1" ht="11.25" customHeight="1" x14ac:dyDescent="0.2">
      <c r="A14" s="227" t="s">
        <v>26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9"/>
    </row>
    <row r="15" spans="1:20" s="118" customFormat="1" ht="11.25" customHeight="1" x14ac:dyDescent="0.2">
      <c r="A15" s="63">
        <v>338</v>
      </c>
      <c r="B15" s="231" t="s">
        <v>106</v>
      </c>
      <c r="C15" s="232"/>
      <c r="D15" s="125">
        <v>100</v>
      </c>
      <c r="E15" s="126">
        <v>28.88</v>
      </c>
      <c r="F15" s="126">
        <v>0.9</v>
      </c>
      <c r="G15" s="123">
        <v>0.2</v>
      </c>
      <c r="H15" s="124">
        <v>8.1</v>
      </c>
      <c r="I15" s="126">
        <f>F15*4+G15*9+H15*4</f>
        <v>37.799999999999997</v>
      </c>
      <c r="J15" s="126">
        <v>0.04</v>
      </c>
      <c r="K15" s="126">
        <v>0.03</v>
      </c>
      <c r="L15" s="126">
        <v>60</v>
      </c>
      <c r="M15" s="126">
        <v>8.0000000000000002E-3</v>
      </c>
      <c r="N15" s="123">
        <v>0.2</v>
      </c>
      <c r="O15" s="126">
        <v>34</v>
      </c>
      <c r="P15" s="126">
        <v>23</v>
      </c>
      <c r="Q15" s="127">
        <v>0.2</v>
      </c>
      <c r="R15" s="126">
        <v>2E-3</v>
      </c>
      <c r="S15" s="126">
        <v>15</v>
      </c>
      <c r="T15" s="126">
        <v>0.3</v>
      </c>
    </row>
    <row r="16" spans="1:20" s="118" customFormat="1" ht="11.25" customHeight="1" x14ac:dyDescent="0.2">
      <c r="A16" s="99">
        <v>15</v>
      </c>
      <c r="B16" s="231" t="s">
        <v>74</v>
      </c>
      <c r="C16" s="232"/>
      <c r="D16" s="125">
        <v>25</v>
      </c>
      <c r="E16" s="126">
        <v>16</v>
      </c>
      <c r="F16" s="126">
        <f>2.32*D16/10</f>
        <v>5.7999999999999989</v>
      </c>
      <c r="G16" s="126">
        <f>3.4*D16/10</f>
        <v>8.5</v>
      </c>
      <c r="H16" s="126">
        <f>0.01*D16/10</f>
        <v>2.5000000000000001E-2</v>
      </c>
      <c r="I16" s="126">
        <f>F16*4+G16*9+H16*4</f>
        <v>99.799999999999983</v>
      </c>
      <c r="J16" s="126">
        <f>0.004*D16/10</f>
        <v>0.01</v>
      </c>
      <c r="K16" s="126">
        <f>0.03*D16/10</f>
        <v>7.4999999999999997E-2</v>
      </c>
      <c r="L16" s="126">
        <f>0.07*D16/10</f>
        <v>0.17500000000000002</v>
      </c>
      <c r="M16" s="127">
        <f>0.023*D16/10</f>
        <v>5.7499999999999996E-2</v>
      </c>
      <c r="N16" s="126">
        <f>0.05*D16/10</f>
        <v>0.125</v>
      </c>
      <c r="O16" s="126">
        <f>88*D16/10</f>
        <v>220</v>
      </c>
      <c r="P16" s="126">
        <f>50*D16/10</f>
        <v>125</v>
      </c>
      <c r="Q16" s="126">
        <f>0.4*D16/10</f>
        <v>1</v>
      </c>
      <c r="R16" s="127">
        <f>0.02*D16/10</f>
        <v>0.05</v>
      </c>
      <c r="S16" s="126">
        <f>3.5*D16/10</f>
        <v>8.75</v>
      </c>
      <c r="T16" s="126">
        <f>0.13*D16/10</f>
        <v>0.32500000000000001</v>
      </c>
    </row>
    <row r="17" spans="1:20" s="118" customFormat="1" ht="21.75" customHeight="1" x14ac:dyDescent="0.2">
      <c r="A17" s="131">
        <v>173</v>
      </c>
      <c r="B17" s="231" t="s">
        <v>110</v>
      </c>
      <c r="C17" s="232"/>
      <c r="D17" s="125">
        <v>250</v>
      </c>
      <c r="E17" s="126">
        <v>18.41</v>
      </c>
      <c r="F17" s="126">
        <f>7.3*D17/200</f>
        <v>9.125</v>
      </c>
      <c r="G17" s="126">
        <f>12.5*D17/200</f>
        <v>15.625</v>
      </c>
      <c r="H17" s="126">
        <f>54.3*D17/200</f>
        <v>67.875</v>
      </c>
      <c r="I17" s="126">
        <f>F17*4+G17*9+H17*4</f>
        <v>448.625</v>
      </c>
      <c r="J17" s="126">
        <f>0.14*D17/200</f>
        <v>0.17499999999999999</v>
      </c>
      <c r="K17" s="126">
        <f>0.18*D17/200</f>
        <v>0.22500000000000001</v>
      </c>
      <c r="L17" s="126">
        <f>3.35*D17/200</f>
        <v>4.1875</v>
      </c>
      <c r="M17" s="127">
        <f>0.037*D17/200</f>
        <v>4.6249999999999999E-2</v>
      </c>
      <c r="N17" s="126">
        <f>1.3*D17/200</f>
        <v>1.625</v>
      </c>
      <c r="O17" s="124">
        <f>147.6*D17/200</f>
        <v>184.5</v>
      </c>
      <c r="P17" s="124">
        <f>198.6*D17/200</f>
        <v>248.25</v>
      </c>
      <c r="Q17" s="125">
        <v>0</v>
      </c>
      <c r="R17" s="124">
        <v>0</v>
      </c>
      <c r="S17" s="124">
        <f>57.8*D17/200</f>
        <v>72.25</v>
      </c>
      <c r="T17" s="126">
        <f>1.3*D17/200</f>
        <v>1.625</v>
      </c>
    </row>
    <row r="18" spans="1:20" s="118" customFormat="1" ht="12.75" customHeight="1" x14ac:dyDescent="0.2">
      <c r="A18" s="198">
        <v>377</v>
      </c>
      <c r="B18" s="219" t="s">
        <v>45</v>
      </c>
      <c r="C18" s="219"/>
      <c r="D18" s="125">
        <v>200</v>
      </c>
      <c r="E18" s="126">
        <v>3.61</v>
      </c>
      <c r="F18" s="126">
        <v>0.26</v>
      </c>
      <c r="G18" s="126">
        <v>0.06</v>
      </c>
      <c r="H18" s="126">
        <v>15.22</v>
      </c>
      <c r="I18" s="126">
        <f>F18*4+G18*9+H18*4</f>
        <v>62.46</v>
      </c>
      <c r="J18" s="126"/>
      <c r="K18" s="126">
        <v>0.01</v>
      </c>
      <c r="L18" s="126">
        <v>2.9</v>
      </c>
      <c r="M18" s="123">
        <v>0</v>
      </c>
      <c r="N18" s="126">
        <v>0.06</v>
      </c>
      <c r="O18" s="126">
        <v>8.0500000000000007</v>
      </c>
      <c r="P18" s="126">
        <v>9.7799999999999994</v>
      </c>
      <c r="Q18" s="126">
        <v>1.7000000000000001E-2</v>
      </c>
      <c r="R18" s="127">
        <v>0</v>
      </c>
      <c r="S18" s="126">
        <v>5.24</v>
      </c>
      <c r="T18" s="126">
        <v>0.87</v>
      </c>
    </row>
    <row r="19" spans="1:20" s="118" customFormat="1" ht="13.5" customHeight="1" x14ac:dyDescent="0.2">
      <c r="A19" s="131" t="s">
        <v>66</v>
      </c>
      <c r="B19" s="231" t="s">
        <v>53</v>
      </c>
      <c r="C19" s="232"/>
      <c r="D19" s="125">
        <v>40</v>
      </c>
      <c r="E19" s="126">
        <v>3.1</v>
      </c>
      <c r="F19" s="126">
        <f>1.52*D19/30</f>
        <v>2.0266666666666664</v>
      </c>
      <c r="G19" s="127">
        <f>0.16*D19/30</f>
        <v>0.21333333333333335</v>
      </c>
      <c r="H19" s="127">
        <f>9.84*D19/30</f>
        <v>13.120000000000001</v>
      </c>
      <c r="I19" s="127">
        <f>F19*4+G19*9+H19*4</f>
        <v>62.506666666666668</v>
      </c>
      <c r="J19" s="127">
        <f>0.02*D19/30</f>
        <v>2.6666666666666668E-2</v>
      </c>
      <c r="K19" s="127">
        <f>0.01*D19/30</f>
        <v>1.3333333333333334E-2</v>
      </c>
      <c r="L19" s="127">
        <f>0.44*D19/30</f>
        <v>0.58666666666666667</v>
      </c>
      <c r="M19" s="127">
        <v>0</v>
      </c>
      <c r="N19" s="127">
        <f>0.7*D19/30</f>
        <v>0.93333333333333335</v>
      </c>
      <c r="O19" s="127">
        <f>4*D19/30</f>
        <v>5.333333333333333</v>
      </c>
      <c r="P19" s="127">
        <f>13*D19/30</f>
        <v>17.333333333333332</v>
      </c>
      <c r="Q19" s="127">
        <f>0.008*D19/30</f>
        <v>1.0666666666666666E-2</v>
      </c>
      <c r="R19" s="127">
        <f>0.001*D19/30</f>
        <v>1.3333333333333333E-3</v>
      </c>
      <c r="S19" s="127">
        <v>0</v>
      </c>
      <c r="T19" s="127">
        <f>0.22*D19/30</f>
        <v>0.29333333333333333</v>
      </c>
    </row>
    <row r="20" spans="1:20" s="1" customFormat="1" ht="11.25" customHeight="1" x14ac:dyDescent="0.2">
      <c r="A20" s="58" t="s">
        <v>27</v>
      </c>
      <c r="B20" s="59"/>
      <c r="C20" s="59"/>
      <c r="D20" s="62">
        <f>SUM(D15:D19)</f>
        <v>615</v>
      </c>
      <c r="E20" s="132">
        <f>SUM(E15:E19)</f>
        <v>69.999999999999986</v>
      </c>
      <c r="F20" s="38">
        <f t="shared" ref="F20:T20" si="0">SUM(F15:F19)</f>
        <v>18.111666666666668</v>
      </c>
      <c r="G20" s="37">
        <f t="shared" si="0"/>
        <v>24.598333333333333</v>
      </c>
      <c r="H20" s="37">
        <f t="shared" si="0"/>
        <v>104.34</v>
      </c>
      <c r="I20" s="37">
        <f t="shared" si="0"/>
        <v>711.19166666666661</v>
      </c>
      <c r="J20" s="38">
        <f t="shared" si="0"/>
        <v>0.25166666666666665</v>
      </c>
      <c r="K20" s="38">
        <f t="shared" si="0"/>
        <v>0.35333333333333333</v>
      </c>
      <c r="L20" s="38">
        <f t="shared" si="0"/>
        <v>67.849166666666676</v>
      </c>
      <c r="M20" s="38">
        <f t="shared" si="0"/>
        <v>0.11175</v>
      </c>
      <c r="N20" s="38">
        <f t="shared" si="0"/>
        <v>2.9433333333333334</v>
      </c>
      <c r="O20" s="38">
        <f t="shared" si="0"/>
        <v>451.88333333333333</v>
      </c>
      <c r="P20" s="38">
        <f t="shared" si="0"/>
        <v>423.36333333333329</v>
      </c>
      <c r="Q20" s="38">
        <f t="shared" si="0"/>
        <v>1.2276666666666665</v>
      </c>
      <c r="R20" s="39">
        <f t="shared" si="0"/>
        <v>5.3333333333333337E-2</v>
      </c>
      <c r="S20" s="38">
        <f t="shared" si="0"/>
        <v>101.24</v>
      </c>
      <c r="T20" s="38">
        <f t="shared" si="0"/>
        <v>3.4133333333333336</v>
      </c>
    </row>
    <row r="21" spans="1:20" s="1" customFormat="1" ht="11.25" customHeight="1" x14ac:dyDescent="0.2">
      <c r="A21" s="220" t="s">
        <v>62</v>
      </c>
      <c r="B21" s="221"/>
      <c r="C21" s="221"/>
      <c r="D21" s="222"/>
      <c r="E21" s="187"/>
      <c r="F21" s="133">
        <f t="shared" ref="F21:T21" si="1">F20/F40</f>
        <v>0.20124074074074075</v>
      </c>
      <c r="G21" s="42">
        <f t="shared" si="1"/>
        <v>0.2673731884057971</v>
      </c>
      <c r="H21" s="42">
        <f t="shared" si="1"/>
        <v>0.27242819843342037</v>
      </c>
      <c r="I21" s="42">
        <f t="shared" si="1"/>
        <v>0.26146752450980387</v>
      </c>
      <c r="J21" s="42">
        <f t="shared" si="1"/>
        <v>0.17976190476190476</v>
      </c>
      <c r="K21" s="42">
        <f t="shared" si="1"/>
        <v>0.22083333333333333</v>
      </c>
      <c r="L21" s="42">
        <f t="shared" si="1"/>
        <v>0.9692738095238097</v>
      </c>
      <c r="M21" s="42">
        <f t="shared" si="1"/>
        <v>0.12416666666666666</v>
      </c>
      <c r="N21" s="42">
        <f t="shared" si="1"/>
        <v>0.24527777777777779</v>
      </c>
      <c r="O21" s="42">
        <f t="shared" si="1"/>
        <v>0.37656944444444446</v>
      </c>
      <c r="P21" s="42">
        <f t="shared" si="1"/>
        <v>0.35280277777777774</v>
      </c>
      <c r="Q21" s="42">
        <f t="shared" si="1"/>
        <v>8.769047619047618E-2</v>
      </c>
      <c r="R21" s="42">
        <f t="shared" si="1"/>
        <v>0.53333333333333333</v>
      </c>
      <c r="S21" s="42">
        <f t="shared" si="1"/>
        <v>0.33746666666666664</v>
      </c>
      <c r="T21" s="42">
        <f t="shared" si="1"/>
        <v>0.18962962962962965</v>
      </c>
    </row>
    <row r="22" spans="1:20" s="1" customFormat="1" ht="11.25" hidden="1" customHeight="1" x14ac:dyDescent="0.2">
      <c r="A22" s="186"/>
      <c r="B22" s="187"/>
      <c r="C22" s="187"/>
      <c r="D22" s="187"/>
      <c r="E22" s="146">
        <f>70-E20</f>
        <v>0</v>
      </c>
      <c r="F22" s="13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4"/>
    </row>
    <row r="23" spans="1:20" s="1" customFormat="1" ht="11.25" customHeight="1" x14ac:dyDescent="0.2">
      <c r="A23" s="227" t="s">
        <v>28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9"/>
    </row>
    <row r="24" spans="1:20" s="1" customFormat="1" ht="21.75" customHeight="1" x14ac:dyDescent="0.2">
      <c r="A24" s="198">
        <v>49</v>
      </c>
      <c r="B24" s="231" t="s">
        <v>113</v>
      </c>
      <c r="C24" s="232"/>
      <c r="D24" s="123">
        <v>100</v>
      </c>
      <c r="E24" s="123">
        <v>9.01</v>
      </c>
      <c r="F24" s="126">
        <v>1.56</v>
      </c>
      <c r="G24" s="126">
        <v>12.03</v>
      </c>
      <c r="H24" s="126">
        <v>8.7799999999999994</v>
      </c>
      <c r="I24" s="126">
        <v>149.69999999999999</v>
      </c>
      <c r="J24" s="127">
        <v>0.05</v>
      </c>
      <c r="K24" s="127">
        <v>0.05</v>
      </c>
      <c r="L24" s="126">
        <v>20.66</v>
      </c>
      <c r="M24" s="126">
        <v>2E-3</v>
      </c>
      <c r="N24" s="123">
        <v>2.5</v>
      </c>
      <c r="O24" s="124">
        <v>32.83</v>
      </c>
      <c r="P24" s="124">
        <v>33.85</v>
      </c>
      <c r="Q24" s="126">
        <v>0.5</v>
      </c>
      <c r="R24" s="127">
        <v>2E-3</v>
      </c>
      <c r="S24" s="126">
        <v>16.63</v>
      </c>
      <c r="T24" s="126">
        <v>0.56000000000000005</v>
      </c>
    </row>
    <row r="25" spans="1:20" s="118" customFormat="1" ht="12.75" customHeight="1" x14ac:dyDescent="0.2">
      <c r="A25" s="198">
        <v>84</v>
      </c>
      <c r="B25" s="231" t="s">
        <v>75</v>
      </c>
      <c r="C25" s="232"/>
      <c r="D25" s="123">
        <v>250</v>
      </c>
      <c r="E25" s="126">
        <v>13.61</v>
      </c>
      <c r="F25" s="126">
        <f>1.77*D25/200</f>
        <v>2.2124999999999999</v>
      </c>
      <c r="G25" s="126">
        <f>2.65*D25/200</f>
        <v>3.3125</v>
      </c>
      <c r="H25" s="126">
        <f>12.74*D25/200</f>
        <v>15.925000000000001</v>
      </c>
      <c r="I25" s="126">
        <f t="shared" ref="I25:I30" si="2">F25*4+G25*9+H25*4</f>
        <v>102.36250000000001</v>
      </c>
      <c r="J25" s="127">
        <f>0.05*D25/200</f>
        <v>6.25E-2</v>
      </c>
      <c r="K25" s="127">
        <f>0.05*D25/200</f>
        <v>6.25E-2</v>
      </c>
      <c r="L25" s="126">
        <f>19*D25/200</f>
        <v>23.75</v>
      </c>
      <c r="M25" s="126">
        <f>0.74*D25/200</f>
        <v>0.92500000000000004</v>
      </c>
      <c r="N25" s="123">
        <f>0.1*D25/200</f>
        <v>0.125</v>
      </c>
      <c r="O25" s="126">
        <f>43.11*D25/200</f>
        <v>53.887500000000003</v>
      </c>
      <c r="P25" s="126">
        <f>48.75*D25/200</f>
        <v>60.9375</v>
      </c>
      <c r="Q25" s="127">
        <f>1.3*D25/200</f>
        <v>1.625</v>
      </c>
      <c r="R25" s="127">
        <f>0.0032*D25/200</f>
        <v>4.0000000000000001E-3</v>
      </c>
      <c r="S25" s="126">
        <f>22.44*D25/200</f>
        <v>28.05</v>
      </c>
      <c r="T25" s="126">
        <f>0.8*D25/200</f>
        <v>1</v>
      </c>
    </row>
    <row r="26" spans="1:20" s="118" customFormat="1" ht="12.75" customHeight="1" x14ac:dyDescent="0.2">
      <c r="A26" s="198">
        <v>295</v>
      </c>
      <c r="B26" s="268" t="s">
        <v>78</v>
      </c>
      <c r="C26" s="269"/>
      <c r="D26" s="123">
        <v>100</v>
      </c>
      <c r="E26" s="123">
        <v>44.7</v>
      </c>
      <c r="F26" s="126">
        <v>13.71</v>
      </c>
      <c r="G26" s="124">
        <v>5.22</v>
      </c>
      <c r="H26" s="124">
        <v>9.14</v>
      </c>
      <c r="I26" s="126">
        <v>138.41999999999999</v>
      </c>
      <c r="J26" s="123">
        <v>0.81</v>
      </c>
      <c r="K26" s="126">
        <v>7.1999999999999995E-2</v>
      </c>
      <c r="L26" s="126">
        <v>0.21</v>
      </c>
      <c r="M26" s="123">
        <f>0.001*D26/100</f>
        <v>1E-3</v>
      </c>
      <c r="N26" s="123">
        <v>6.7000000000000004E-2</v>
      </c>
      <c r="O26" s="124">
        <v>12.62</v>
      </c>
      <c r="P26" s="124">
        <v>84.58</v>
      </c>
      <c r="Q26" s="126">
        <v>1.0529999999999999</v>
      </c>
      <c r="R26" s="127">
        <f>0.04*D26/100</f>
        <v>0.04</v>
      </c>
      <c r="S26" s="124">
        <v>14.61</v>
      </c>
      <c r="T26" s="126">
        <v>1.7</v>
      </c>
    </row>
    <row r="27" spans="1:20" s="118" customFormat="1" ht="15.75" customHeight="1" x14ac:dyDescent="0.2">
      <c r="A27" s="137">
        <v>139</v>
      </c>
      <c r="B27" s="270" t="s">
        <v>101</v>
      </c>
      <c r="C27" s="270"/>
      <c r="D27" s="138">
        <v>180</v>
      </c>
      <c r="E27" s="136">
        <v>12.81</v>
      </c>
      <c r="F27" s="136">
        <v>2.75</v>
      </c>
      <c r="G27" s="136">
        <v>13.2</v>
      </c>
      <c r="H27" s="136">
        <v>17.329999999999998</v>
      </c>
      <c r="I27" s="136">
        <v>199.2</v>
      </c>
      <c r="J27" s="136">
        <v>0.08</v>
      </c>
      <c r="K27" s="136">
        <v>0</v>
      </c>
      <c r="L27" s="136">
        <v>10.4</v>
      </c>
      <c r="M27" s="136">
        <v>37.200000000000003</v>
      </c>
      <c r="N27" s="136">
        <v>0</v>
      </c>
      <c r="O27" s="136">
        <v>28.68</v>
      </c>
      <c r="P27" s="136">
        <v>74.16</v>
      </c>
      <c r="Q27" s="136">
        <v>0</v>
      </c>
      <c r="R27" s="136">
        <v>0</v>
      </c>
      <c r="S27" s="136">
        <v>33.36</v>
      </c>
      <c r="T27" s="136">
        <v>1.18</v>
      </c>
    </row>
    <row r="28" spans="1:20" s="118" customFormat="1" ht="21.75" customHeight="1" x14ac:dyDescent="0.2">
      <c r="A28" s="131">
        <v>349</v>
      </c>
      <c r="B28" s="231" t="s">
        <v>93</v>
      </c>
      <c r="C28" s="232"/>
      <c r="D28" s="125">
        <v>200</v>
      </c>
      <c r="E28" s="126">
        <v>4.7300000000000004</v>
      </c>
      <c r="F28" s="126">
        <v>0.22</v>
      </c>
      <c r="G28" s="123"/>
      <c r="H28" s="126">
        <v>24.42</v>
      </c>
      <c r="I28" s="126">
        <f t="shared" si="2"/>
        <v>98.56</v>
      </c>
      <c r="J28" s="123"/>
      <c r="K28" s="123"/>
      <c r="L28" s="126">
        <v>26.11</v>
      </c>
      <c r="M28" s="123"/>
      <c r="N28" s="123"/>
      <c r="O28" s="124">
        <v>22.6</v>
      </c>
      <c r="P28" s="124">
        <v>7.7</v>
      </c>
      <c r="Q28" s="125">
        <v>0</v>
      </c>
      <c r="R28" s="125">
        <v>0</v>
      </c>
      <c r="S28" s="124">
        <v>3</v>
      </c>
      <c r="T28" s="126">
        <v>0.66</v>
      </c>
    </row>
    <row r="29" spans="1:20" s="118" customFormat="1" ht="11.25" customHeight="1" x14ac:dyDescent="0.2">
      <c r="A29" s="67" t="s">
        <v>66</v>
      </c>
      <c r="B29" s="231" t="s">
        <v>46</v>
      </c>
      <c r="C29" s="232"/>
      <c r="D29" s="125">
        <v>40</v>
      </c>
      <c r="E29" s="126">
        <v>3.1</v>
      </c>
      <c r="F29" s="126">
        <f>2.64*D29/40</f>
        <v>2.64</v>
      </c>
      <c r="G29" s="126">
        <f>0.48*D29/40</f>
        <v>0.48</v>
      </c>
      <c r="H29" s="126">
        <f>13.68*D29/40</f>
        <v>13.680000000000001</v>
      </c>
      <c r="I29" s="124">
        <f t="shared" si="2"/>
        <v>69.600000000000009</v>
      </c>
      <c r="J29" s="123">
        <f>0.08*D29/40</f>
        <v>0.08</v>
      </c>
      <c r="K29" s="126">
        <f>0.04*D29/40</f>
        <v>0.04</v>
      </c>
      <c r="L29" s="125">
        <v>0</v>
      </c>
      <c r="M29" s="125">
        <v>0</v>
      </c>
      <c r="N29" s="126">
        <f>2.4*D29/40</f>
        <v>2.4</v>
      </c>
      <c r="O29" s="126">
        <f>14*D29/40</f>
        <v>14</v>
      </c>
      <c r="P29" s="126">
        <f>63.2*D29/40</f>
        <v>63.2</v>
      </c>
      <c r="Q29" s="126">
        <f>1.2*D29/40</f>
        <v>1.2</v>
      </c>
      <c r="R29" s="127">
        <f>0.001*D29/40</f>
        <v>1E-3</v>
      </c>
      <c r="S29" s="126">
        <f>9.4*D29/40</f>
        <v>9.4</v>
      </c>
      <c r="T29" s="123">
        <f>0.78*D29/40</f>
        <v>0.78</v>
      </c>
    </row>
    <row r="30" spans="1:20" s="118" customFormat="1" ht="11.25" customHeight="1" x14ac:dyDescent="0.2">
      <c r="A30" s="131" t="s">
        <v>66</v>
      </c>
      <c r="B30" s="231" t="s">
        <v>53</v>
      </c>
      <c r="C30" s="232"/>
      <c r="D30" s="125">
        <v>40</v>
      </c>
      <c r="E30" s="126">
        <v>2.04</v>
      </c>
      <c r="F30" s="126">
        <f>1.52*D30/30</f>
        <v>2.0266666666666664</v>
      </c>
      <c r="G30" s="127">
        <f>0.16*D30/30</f>
        <v>0.21333333333333335</v>
      </c>
      <c r="H30" s="127">
        <f>9.84*D30/30</f>
        <v>13.120000000000001</v>
      </c>
      <c r="I30" s="127">
        <f t="shared" si="2"/>
        <v>62.506666666666668</v>
      </c>
      <c r="J30" s="127">
        <f>0.02*D30/30</f>
        <v>2.6666666666666668E-2</v>
      </c>
      <c r="K30" s="127">
        <f>0.01*D30/30</f>
        <v>1.3333333333333334E-2</v>
      </c>
      <c r="L30" s="127">
        <f>0.44*D30/30</f>
        <v>0.58666666666666667</v>
      </c>
      <c r="M30" s="127">
        <v>0</v>
      </c>
      <c r="N30" s="127">
        <f>0.7*D30/30</f>
        <v>0.93333333333333335</v>
      </c>
      <c r="O30" s="127">
        <f>4*D30/30</f>
        <v>5.333333333333333</v>
      </c>
      <c r="P30" s="127">
        <f>13*D30/30</f>
        <v>17.333333333333332</v>
      </c>
      <c r="Q30" s="127">
        <f>0.008*D30/30</f>
        <v>1.0666666666666666E-2</v>
      </c>
      <c r="R30" s="127">
        <f>0.001*D30/30</f>
        <v>1.3333333333333333E-3</v>
      </c>
      <c r="S30" s="127">
        <v>0</v>
      </c>
      <c r="T30" s="127">
        <f>0.22*D30/30</f>
        <v>0.29333333333333333</v>
      </c>
    </row>
    <row r="31" spans="1:20" s="118" customFormat="1" ht="11.25" customHeight="1" x14ac:dyDescent="0.2">
      <c r="A31" s="58" t="s">
        <v>29</v>
      </c>
      <c r="B31" s="59"/>
      <c r="C31" s="59"/>
      <c r="D31" s="62">
        <f t="shared" ref="D31:I31" si="3">SUM(D24:D30)</f>
        <v>910</v>
      </c>
      <c r="E31" s="132">
        <f t="shared" si="3"/>
        <v>90</v>
      </c>
      <c r="F31" s="38">
        <f t="shared" si="3"/>
        <v>25.119166666666668</v>
      </c>
      <c r="G31" s="37">
        <f t="shared" si="3"/>
        <v>34.455833333333331</v>
      </c>
      <c r="H31" s="37">
        <f t="shared" si="3"/>
        <v>102.39500000000001</v>
      </c>
      <c r="I31" s="37">
        <f t="shared" si="3"/>
        <v>820.34916666666652</v>
      </c>
      <c r="J31" s="38">
        <f t="shared" ref="J31:T31" si="4">SUM(J24:J30)</f>
        <v>1.1091666666666669</v>
      </c>
      <c r="K31" s="38">
        <f t="shared" si="4"/>
        <v>0.23783333333333334</v>
      </c>
      <c r="L31" s="37">
        <f t="shared" si="4"/>
        <v>81.716666666666669</v>
      </c>
      <c r="M31" s="38">
        <f t="shared" si="4"/>
        <v>38.128</v>
      </c>
      <c r="N31" s="41">
        <f t="shared" si="4"/>
        <v>6.0253333333333341</v>
      </c>
      <c r="O31" s="37">
        <f t="shared" si="4"/>
        <v>169.95083333333335</v>
      </c>
      <c r="P31" s="37">
        <f t="shared" si="4"/>
        <v>341.76083333333332</v>
      </c>
      <c r="Q31" s="38">
        <f t="shared" si="4"/>
        <v>4.3886666666666665</v>
      </c>
      <c r="R31" s="38">
        <f t="shared" si="4"/>
        <v>4.8333333333333332E-2</v>
      </c>
      <c r="S31" s="37">
        <f t="shared" si="4"/>
        <v>105.05000000000001</v>
      </c>
      <c r="T31" s="38">
        <f t="shared" si="4"/>
        <v>6.1733333333333329</v>
      </c>
    </row>
    <row r="32" spans="1:20" s="118" customFormat="1" ht="11.25" customHeight="1" x14ac:dyDescent="0.2">
      <c r="A32" s="220" t="s">
        <v>62</v>
      </c>
      <c r="B32" s="221"/>
      <c r="C32" s="221"/>
      <c r="D32" s="222"/>
      <c r="E32" s="187"/>
      <c r="F32" s="133">
        <f t="shared" ref="F32:T32" si="5">F31/F40</f>
        <v>0.27910185185185188</v>
      </c>
      <c r="G32" s="42">
        <f t="shared" si="5"/>
        <v>0.37451992753623187</v>
      </c>
      <c r="H32" s="42">
        <f t="shared" si="5"/>
        <v>0.26734986945169714</v>
      </c>
      <c r="I32" s="42">
        <f t="shared" si="5"/>
        <v>0.30159895833333328</v>
      </c>
      <c r="J32" s="42">
        <f t="shared" si="5"/>
        <v>0.79226190476190494</v>
      </c>
      <c r="K32" s="42">
        <f t="shared" si="5"/>
        <v>0.14864583333333334</v>
      </c>
      <c r="L32" s="42">
        <f t="shared" si="5"/>
        <v>1.1673809523809524</v>
      </c>
      <c r="M32" s="42">
        <f t="shared" si="5"/>
        <v>42.364444444444445</v>
      </c>
      <c r="N32" s="42">
        <f t="shared" si="5"/>
        <v>0.50211111111111117</v>
      </c>
      <c r="O32" s="42">
        <f t="shared" si="5"/>
        <v>0.14162569444444445</v>
      </c>
      <c r="P32" s="42">
        <f t="shared" si="5"/>
        <v>0.28480069444444445</v>
      </c>
      <c r="Q32" s="42">
        <f t="shared" si="5"/>
        <v>0.31347619047619046</v>
      </c>
      <c r="R32" s="42">
        <f t="shared" si="5"/>
        <v>0.48333333333333328</v>
      </c>
      <c r="S32" s="42">
        <f t="shared" si="5"/>
        <v>0.35016666666666668</v>
      </c>
      <c r="T32" s="42">
        <f t="shared" si="5"/>
        <v>0.34296296296296291</v>
      </c>
    </row>
    <row r="33" spans="1:20" s="118" customFormat="1" ht="11.25" hidden="1" customHeight="1" x14ac:dyDescent="0.2">
      <c r="A33" s="186"/>
      <c r="B33" s="187"/>
      <c r="C33" s="187"/>
      <c r="D33" s="187"/>
      <c r="E33" s="146">
        <f>90-E31</f>
        <v>0</v>
      </c>
      <c r="F33" s="13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4"/>
    </row>
    <row r="34" spans="1:20" s="118" customFormat="1" ht="11.25" customHeight="1" x14ac:dyDescent="0.2">
      <c r="A34" s="227" t="s">
        <v>30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9"/>
    </row>
    <row r="35" spans="1:20" s="107" customFormat="1" ht="22.35" customHeight="1" x14ac:dyDescent="0.2">
      <c r="A35" s="113"/>
      <c r="B35" s="238"/>
      <c r="C35" s="238"/>
      <c r="D35" s="169"/>
      <c r="E35" s="108"/>
      <c r="F35" s="108"/>
      <c r="G35" s="170"/>
      <c r="H35" s="170"/>
      <c r="I35" s="170"/>
      <c r="J35" s="108"/>
      <c r="K35" s="108"/>
      <c r="L35" s="108"/>
      <c r="M35" s="108"/>
      <c r="N35" s="169"/>
      <c r="O35" s="108"/>
      <c r="P35" s="108"/>
      <c r="Q35" s="170"/>
      <c r="R35" s="108"/>
      <c r="S35" s="170"/>
      <c r="T35" s="108"/>
    </row>
    <row r="36" spans="1:20" s="107" customFormat="1" ht="11.25" customHeight="1" x14ac:dyDescent="0.2">
      <c r="A36" s="172"/>
      <c r="B36" s="239"/>
      <c r="C36" s="239"/>
      <c r="D36" s="173"/>
      <c r="E36" s="114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</row>
    <row r="37" spans="1:20" s="1" customFormat="1" ht="11.25" customHeight="1" x14ac:dyDescent="0.2">
      <c r="A37" s="58" t="s">
        <v>31</v>
      </c>
      <c r="B37" s="59"/>
      <c r="C37" s="59"/>
      <c r="D37" s="62">
        <f t="shared" ref="D37:T37" si="6">SUM(D35:D36)</f>
        <v>0</v>
      </c>
      <c r="E37" s="132">
        <f t="shared" si="6"/>
        <v>0</v>
      </c>
      <c r="F37" s="132">
        <f t="shared" si="6"/>
        <v>0</v>
      </c>
      <c r="G37" s="132">
        <f t="shared" si="6"/>
        <v>0</v>
      </c>
      <c r="H37" s="132">
        <f t="shared" si="6"/>
        <v>0</v>
      </c>
      <c r="I37" s="132">
        <f t="shared" si="6"/>
        <v>0</v>
      </c>
      <c r="J37" s="132">
        <f t="shared" si="6"/>
        <v>0</v>
      </c>
      <c r="K37" s="132">
        <f t="shared" si="6"/>
        <v>0</v>
      </c>
      <c r="L37" s="132">
        <f t="shared" si="6"/>
        <v>0</v>
      </c>
      <c r="M37" s="132">
        <f t="shared" si="6"/>
        <v>0</v>
      </c>
      <c r="N37" s="132">
        <f t="shared" si="6"/>
        <v>0</v>
      </c>
      <c r="O37" s="132">
        <f t="shared" si="6"/>
        <v>0</v>
      </c>
      <c r="P37" s="132">
        <f t="shared" si="6"/>
        <v>0</v>
      </c>
      <c r="Q37" s="132">
        <f t="shared" si="6"/>
        <v>0</v>
      </c>
      <c r="R37" s="132">
        <f t="shared" si="6"/>
        <v>0</v>
      </c>
      <c r="S37" s="132">
        <f t="shared" si="6"/>
        <v>0</v>
      </c>
      <c r="T37" s="132">
        <f t="shared" si="6"/>
        <v>0</v>
      </c>
    </row>
    <row r="38" spans="1:20" s="1" customFormat="1" ht="11.25" customHeight="1" x14ac:dyDescent="0.2">
      <c r="A38" s="220" t="s">
        <v>62</v>
      </c>
      <c r="B38" s="221"/>
      <c r="C38" s="221"/>
      <c r="D38" s="222"/>
      <c r="E38" s="188"/>
      <c r="F38" s="66">
        <f>F37/F40</f>
        <v>0</v>
      </c>
      <c r="G38" s="42">
        <f t="shared" ref="G38:T38" si="7">G37/G40</f>
        <v>0</v>
      </c>
      <c r="H38" s="42">
        <f t="shared" si="7"/>
        <v>0</v>
      </c>
      <c r="I38" s="42">
        <f t="shared" si="7"/>
        <v>0</v>
      </c>
      <c r="J38" s="42">
        <f t="shared" si="7"/>
        <v>0</v>
      </c>
      <c r="K38" s="42">
        <f t="shared" si="7"/>
        <v>0</v>
      </c>
      <c r="L38" s="42">
        <f t="shared" si="7"/>
        <v>0</v>
      </c>
      <c r="M38" s="42">
        <f t="shared" si="7"/>
        <v>0</v>
      </c>
      <c r="N38" s="42">
        <f t="shared" si="7"/>
        <v>0</v>
      </c>
      <c r="O38" s="42">
        <f t="shared" si="7"/>
        <v>0</v>
      </c>
      <c r="P38" s="42">
        <f t="shared" si="7"/>
        <v>0</v>
      </c>
      <c r="Q38" s="42">
        <f t="shared" si="7"/>
        <v>0</v>
      </c>
      <c r="R38" s="42">
        <f t="shared" si="7"/>
        <v>0</v>
      </c>
      <c r="S38" s="42">
        <f t="shared" si="7"/>
        <v>0</v>
      </c>
      <c r="T38" s="42">
        <f t="shared" si="7"/>
        <v>0</v>
      </c>
    </row>
    <row r="39" spans="1:20" s="1" customFormat="1" ht="11.25" customHeight="1" x14ac:dyDescent="0.2">
      <c r="A39" s="235" t="s">
        <v>61</v>
      </c>
      <c r="B39" s="236"/>
      <c r="C39" s="236"/>
      <c r="D39" s="237"/>
      <c r="E39" s="193"/>
      <c r="F39" s="38">
        <f t="shared" ref="F39:T39" si="8">SUM(F20,F31,F37)</f>
        <v>43.230833333333337</v>
      </c>
      <c r="G39" s="37">
        <f t="shared" si="8"/>
        <v>59.05416666666666</v>
      </c>
      <c r="H39" s="37">
        <f t="shared" si="8"/>
        <v>206.73500000000001</v>
      </c>
      <c r="I39" s="37">
        <f t="shared" si="8"/>
        <v>1531.540833333333</v>
      </c>
      <c r="J39" s="38">
        <f t="shared" si="8"/>
        <v>1.3608333333333336</v>
      </c>
      <c r="K39" s="38">
        <f t="shared" si="8"/>
        <v>0.59116666666666662</v>
      </c>
      <c r="L39" s="37">
        <f t="shared" si="8"/>
        <v>149.56583333333333</v>
      </c>
      <c r="M39" s="38">
        <f t="shared" si="8"/>
        <v>38.239750000000001</v>
      </c>
      <c r="N39" s="38">
        <f t="shared" si="8"/>
        <v>8.9686666666666675</v>
      </c>
      <c r="O39" s="37">
        <f t="shared" si="8"/>
        <v>621.83416666666665</v>
      </c>
      <c r="P39" s="37">
        <f t="shared" si="8"/>
        <v>765.12416666666661</v>
      </c>
      <c r="Q39" s="38">
        <f t="shared" si="8"/>
        <v>5.6163333333333334</v>
      </c>
      <c r="R39" s="39">
        <f t="shared" si="8"/>
        <v>0.10166666666666667</v>
      </c>
      <c r="S39" s="38">
        <f t="shared" si="8"/>
        <v>206.29000000000002</v>
      </c>
      <c r="T39" s="38">
        <f t="shared" si="8"/>
        <v>9.586666666666666</v>
      </c>
    </row>
    <row r="40" spans="1:20" s="1" customFormat="1" ht="11.25" customHeight="1" x14ac:dyDescent="0.2">
      <c r="A40" s="235" t="s">
        <v>63</v>
      </c>
      <c r="B40" s="236"/>
      <c r="C40" s="236"/>
      <c r="D40" s="237"/>
      <c r="E40" s="193"/>
      <c r="F40" s="126">
        <v>90</v>
      </c>
      <c r="G40" s="124">
        <v>92</v>
      </c>
      <c r="H40" s="124">
        <v>383</v>
      </c>
      <c r="I40" s="124">
        <v>2720</v>
      </c>
      <c r="J40" s="126">
        <v>1.4</v>
      </c>
      <c r="K40" s="126">
        <v>1.6</v>
      </c>
      <c r="L40" s="125">
        <v>70</v>
      </c>
      <c r="M40" s="126">
        <v>0.9</v>
      </c>
      <c r="N40" s="125">
        <v>12</v>
      </c>
      <c r="O40" s="125">
        <v>1200</v>
      </c>
      <c r="P40" s="125">
        <v>1200</v>
      </c>
      <c r="Q40" s="125">
        <v>14</v>
      </c>
      <c r="R40" s="124">
        <v>0.1</v>
      </c>
      <c r="S40" s="125">
        <v>300</v>
      </c>
      <c r="T40" s="126">
        <v>18</v>
      </c>
    </row>
    <row r="41" spans="1:20" s="1" customFormat="1" ht="11.25" customHeight="1" x14ac:dyDescent="0.2">
      <c r="A41" s="220" t="s">
        <v>62</v>
      </c>
      <c r="B41" s="221"/>
      <c r="C41" s="221"/>
      <c r="D41" s="222"/>
      <c r="E41" s="188"/>
      <c r="F41" s="66">
        <f t="shared" ref="F41:T41" si="9">F39/F40</f>
        <v>0.48034259259259265</v>
      </c>
      <c r="G41" s="42">
        <f t="shared" si="9"/>
        <v>0.64189311594202891</v>
      </c>
      <c r="H41" s="42">
        <f t="shared" si="9"/>
        <v>0.53977806788511751</v>
      </c>
      <c r="I41" s="42">
        <f t="shared" si="9"/>
        <v>0.56306648284313709</v>
      </c>
      <c r="J41" s="42">
        <f t="shared" si="9"/>
        <v>0.97202380952380973</v>
      </c>
      <c r="K41" s="42">
        <f t="shared" si="9"/>
        <v>0.36947916666666664</v>
      </c>
      <c r="L41" s="42">
        <f t="shared" si="9"/>
        <v>2.136654761904762</v>
      </c>
      <c r="M41" s="43">
        <f>M39/M40</f>
        <v>42.488611111111112</v>
      </c>
      <c r="N41" s="42">
        <f t="shared" si="9"/>
        <v>0.74738888888888899</v>
      </c>
      <c r="O41" s="42">
        <f t="shared" si="9"/>
        <v>0.51819513888888891</v>
      </c>
      <c r="P41" s="42">
        <f t="shared" si="9"/>
        <v>0.63760347222222213</v>
      </c>
      <c r="Q41" s="42">
        <f t="shared" si="9"/>
        <v>0.40116666666666667</v>
      </c>
      <c r="R41" s="43">
        <f t="shared" si="9"/>
        <v>1.0166666666666666</v>
      </c>
      <c r="S41" s="42">
        <f t="shared" si="9"/>
        <v>0.68763333333333343</v>
      </c>
      <c r="T41" s="43">
        <f t="shared" si="9"/>
        <v>0.53259259259259251</v>
      </c>
    </row>
    <row r="42" spans="1:20" s="1" customFormat="1" ht="11.25" customHeight="1" x14ac:dyDescent="0.2">
      <c r="A42" s="51"/>
      <c r="B42" s="51"/>
      <c r="C42" s="185"/>
      <c r="D42" s="185"/>
      <c r="E42" s="185"/>
      <c r="F42" s="91"/>
      <c r="G42" s="118"/>
      <c r="H42" s="2"/>
      <c r="I42" s="2"/>
      <c r="J42" s="118"/>
      <c r="K42" s="118"/>
      <c r="L42" s="118"/>
      <c r="M42" s="206" t="s">
        <v>65</v>
      </c>
      <c r="N42" s="206"/>
      <c r="O42" s="206"/>
      <c r="P42" s="206"/>
      <c r="Q42" s="206"/>
      <c r="R42" s="206"/>
      <c r="S42" s="206"/>
      <c r="T42" s="206"/>
    </row>
    <row r="43" spans="1:20" s="1" customFormat="1" ht="11.25" customHeight="1" x14ac:dyDescent="0.2">
      <c r="A43" s="51"/>
      <c r="B43" s="51"/>
      <c r="C43" s="185"/>
      <c r="D43" s="185"/>
      <c r="E43" s="185"/>
      <c r="F43" s="91"/>
      <c r="G43" s="118"/>
      <c r="H43" s="2"/>
      <c r="I43" s="2"/>
      <c r="J43" s="118"/>
      <c r="K43" s="118"/>
      <c r="L43" s="118"/>
      <c r="M43" s="184"/>
      <c r="N43" s="184"/>
      <c r="O43" s="184"/>
      <c r="P43" s="184"/>
      <c r="Q43" s="184"/>
      <c r="R43" s="184"/>
      <c r="S43" s="184"/>
      <c r="T43" s="184"/>
    </row>
    <row r="44" spans="1:20" ht="11.25" customHeight="1" x14ac:dyDescent="0.2">
      <c r="A44" s="51"/>
      <c r="B44" s="51"/>
      <c r="C44" s="51"/>
      <c r="D44" s="118"/>
      <c r="E44" s="118"/>
      <c r="F44" s="119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</row>
    <row r="45" spans="1:20" ht="29.25" customHeight="1" x14ac:dyDescent="0.2">
      <c r="A45" s="254" t="s">
        <v>67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</row>
    <row r="46" spans="1:20" ht="29.25" customHeight="1" x14ac:dyDescent="0.2">
      <c r="A46" s="52"/>
      <c r="B46" s="52"/>
      <c r="C46" s="52"/>
      <c r="D46" s="3"/>
      <c r="E46" s="3"/>
      <c r="F46" s="92"/>
      <c r="G46" s="3"/>
      <c r="H46" s="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s="84" customFormat="1" ht="13.5" customHeight="1" x14ac:dyDescent="0.2">
      <c r="A47" s="85"/>
      <c r="B47" s="85"/>
      <c r="C47" s="85"/>
      <c r="D47" s="85"/>
      <c r="E47" s="85"/>
      <c r="F47" s="93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</row>
  </sheetData>
  <autoFilter ref="B1:B47"/>
  <mergeCells count="49">
    <mergeCell ref="D10:F10"/>
    <mergeCell ref="L10:M10"/>
    <mergeCell ref="N10:T10"/>
    <mergeCell ref="N5:T5"/>
    <mergeCell ref="M1:T1"/>
    <mergeCell ref="A2:T2"/>
    <mergeCell ref="G4:I4"/>
    <mergeCell ref="L4:M4"/>
    <mergeCell ref="N4:Q4"/>
    <mergeCell ref="D5:F5"/>
    <mergeCell ref="L5:M5"/>
    <mergeCell ref="M6:T6"/>
    <mergeCell ref="A8:T8"/>
    <mergeCell ref="G9:I9"/>
    <mergeCell ref="L9:M9"/>
    <mergeCell ref="N9:Q9"/>
    <mergeCell ref="B25:C25"/>
    <mergeCell ref="O11:T11"/>
    <mergeCell ref="B13:C13"/>
    <mergeCell ref="A14:T14"/>
    <mergeCell ref="B15:C15"/>
    <mergeCell ref="B16:C16"/>
    <mergeCell ref="B17:C17"/>
    <mergeCell ref="A11:A12"/>
    <mergeCell ref="B11:C12"/>
    <mergeCell ref="D11:D12"/>
    <mergeCell ref="F11:H11"/>
    <mergeCell ref="I11:I12"/>
    <mergeCell ref="J11:N11"/>
    <mergeCell ref="B18:C18"/>
    <mergeCell ref="B19:C19"/>
    <mergeCell ref="A21:D21"/>
    <mergeCell ref="A23:T23"/>
    <mergeCell ref="B24:C24"/>
    <mergeCell ref="A34:T34"/>
    <mergeCell ref="B35:C35"/>
    <mergeCell ref="B36:C36"/>
    <mergeCell ref="B26:C26"/>
    <mergeCell ref="B27:C27"/>
    <mergeCell ref="B28:C28"/>
    <mergeCell ref="B29:C29"/>
    <mergeCell ref="B30:C30"/>
    <mergeCell ref="A32:D32"/>
    <mergeCell ref="M42:T42"/>
    <mergeCell ref="A45:T45"/>
    <mergeCell ref="A38:D38"/>
    <mergeCell ref="A39:D39"/>
    <mergeCell ref="A40:D40"/>
    <mergeCell ref="A41:D41"/>
  </mergeCells>
  <pageMargins left="0.7" right="0.7" top="0.75" bottom="0.75" header="0.3" footer="0.3"/>
  <pageSetup paperSize="9" scale="79" orientation="landscape" r:id="rId1"/>
  <rowBreaks count="2" manualBreakCount="2">
    <brk id="5" max="19" man="1"/>
    <brk id="4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Понедельник -1 </vt:lpstr>
      <vt:lpstr>Вторник -2 </vt:lpstr>
      <vt:lpstr>Среда-3</vt:lpstr>
      <vt:lpstr>Четверг -4</vt:lpstr>
      <vt:lpstr>Пятница-5</vt:lpstr>
      <vt:lpstr>Понедельник-6</vt:lpstr>
      <vt:lpstr>Вторник-7</vt:lpstr>
      <vt:lpstr>Среда-8</vt:lpstr>
      <vt:lpstr>Четверг -9</vt:lpstr>
      <vt:lpstr>Пятница -10</vt:lpstr>
      <vt:lpstr>'Вторник -2 '!Область_печати</vt:lpstr>
      <vt:lpstr>'Вторник-7'!Область_печати</vt:lpstr>
      <vt:lpstr>'Понедельник -1 '!Область_печати</vt:lpstr>
      <vt:lpstr>'Понедельник-6'!Область_печати</vt:lpstr>
      <vt:lpstr>'Пятница -10'!Область_печати</vt:lpstr>
      <vt:lpstr>'Пятница-5'!Область_печати</vt:lpstr>
      <vt:lpstr>'Среда-3'!Область_печати</vt:lpstr>
      <vt:lpstr>'Среда-8'!Область_печати</vt:lpstr>
      <vt:lpstr>'Четверг -4'!Область_печати</vt:lpstr>
      <vt:lpstr>'Четверг -9'!Область_печати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zav_karam_nijn</dc:creator>
  <cp:lastModifiedBy>Пользователь</cp:lastModifiedBy>
  <cp:revision>1</cp:revision>
  <cp:lastPrinted>2023-08-29T07:29:23Z</cp:lastPrinted>
  <dcterms:created xsi:type="dcterms:W3CDTF">2017-06-07T09:01:22Z</dcterms:created>
  <dcterms:modified xsi:type="dcterms:W3CDTF">2023-12-05T09:30:06Z</dcterms:modified>
</cp:coreProperties>
</file>